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ماهانه\1405\فروردین\"/>
    </mc:Choice>
  </mc:AlternateContent>
  <xr:revisionPtr revIDLastSave="0" documentId="13_ncr:1_{05307587-DDB2-46F1-BF01-AB6D74F3590C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صندوق" sheetId="24" r:id="rId5"/>
    <sheet name="سپرده" sheetId="2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مبالغ تخصیصی اوراق " sheetId="20" state="hidden" r:id="rId12"/>
    <sheet name="درآمد سود سهام" sheetId="18" state="hidden" r:id="rId13"/>
    <sheet name="سایر درآمدها" sheetId="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3" hidden="1">'تعدیل اوراق'!$A$8:$K$8</definedName>
    <definedName name="_xlnm._FilterDatabase" localSheetId="10" hidden="1">'درآمد سپرده بانکی'!$A$7:$L$18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2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5" hidden="1">سپرده!$A$8:$L$19</definedName>
    <definedName name="_xlnm._FilterDatabase" localSheetId="14" hidden="1">'سود اوراق بهادار'!$A$6:$Q$12</definedName>
    <definedName name="_xlnm._FilterDatabase" localSheetId="15" hidden="1">'سود سپرده بانکی'!$A$6:$M$17</definedName>
    <definedName name="_xlnm._FilterDatabase" localSheetId="4" hidden="1">صندوق!$A$8:$L$19</definedName>
    <definedName name="A" localSheetId="14">'سود اوراق بهادار'!$A$8:$Q$13</definedName>
    <definedName name="A">'سود سپرده بانکی'!$A$15:$M$17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اوراق'!$A$1:$M$13</definedName>
    <definedName name="_xlnm.Print_Area" localSheetId="10">'درآمد سپرده بانکی'!$A$1:$J$19</definedName>
    <definedName name="_xlnm.Print_Area" localSheetId="9">'درآمد سرمایه گذاری در اوراق بها'!$A$1:$Q$17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2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ازفروش'!$A$1:$Q$16</definedName>
    <definedName name="_xlnm.Print_Area" localSheetId="6">درآمدها!$A$1:$I$13</definedName>
    <definedName name="_xlnm.Print_Area" localSheetId="0">روکش!$A$1:$K$37</definedName>
    <definedName name="_xlnm.Print_Area" localSheetId="13">'سایر درآمدها'!$A$1:$E$10</definedName>
    <definedName name="_xlnm.Print_Area" localSheetId="5">سپرده!$A$1:$K$21</definedName>
    <definedName name="_xlnm.Print_Area" localSheetId="14">'سود اوراق بهادار'!$A$1:$Q$14</definedName>
    <definedName name="_xlnm.Print_Area" localSheetId="15">'سود سپرده بانکی'!$A$1:$M$18</definedName>
    <definedName name="_xlnm.Print_Area" localSheetId="4">صندوق!$A$1:$W$16</definedName>
    <definedName name="_xlnm.Print_Area" localSheetId="11">'مبالغ تخصیصی اوراق '!$A$1:$I$18</definedName>
    <definedName name="_xlnm.Print_Area" localSheetId="18">'مبالغ تخصیصی اورراق '!$A$1:$N$11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0" i="1" l="1"/>
  <c r="R17" i="23"/>
  <c r="I9" i="11" l="1"/>
  <c r="I11" i="11"/>
  <c r="I7" i="11"/>
  <c r="C7" i="14" l="1"/>
  <c r="C8" i="14"/>
  <c r="C9" i="14"/>
  <c r="C10" i="14"/>
  <c r="C11" i="14"/>
  <c r="C12" i="14"/>
  <c r="C13" i="14"/>
  <c r="C14" i="14"/>
  <c r="C15" i="14"/>
  <c r="C16" i="14"/>
  <c r="C17" i="14"/>
  <c r="C18" i="14"/>
  <c r="K13" i="19"/>
  <c r="K10" i="19"/>
  <c r="K11" i="19"/>
  <c r="K12" i="19"/>
  <c r="K9" i="19"/>
  <c r="G8" i="13" l="1"/>
  <c r="G9" i="13"/>
  <c r="G10" i="13"/>
  <c r="G11" i="13"/>
  <c r="G12" i="13"/>
  <c r="G13" i="13"/>
  <c r="G14" i="13"/>
  <c r="G15" i="13"/>
  <c r="G16" i="13"/>
  <c r="M8" i="13"/>
  <c r="M9" i="13"/>
  <c r="M10" i="13"/>
  <c r="M11" i="13"/>
  <c r="M12" i="13"/>
  <c r="M13" i="13"/>
  <c r="M14" i="13"/>
  <c r="M15" i="13"/>
  <c r="M16" i="13"/>
  <c r="P12" i="23" l="1"/>
  <c r="P13" i="23"/>
  <c r="P14" i="23"/>
  <c r="P15" i="23"/>
  <c r="P16" i="23"/>
  <c r="P11" i="23"/>
  <c r="G12" i="23"/>
  <c r="G13" i="23"/>
  <c r="G14" i="23"/>
  <c r="G15" i="23"/>
  <c r="G16" i="23"/>
  <c r="G11" i="23"/>
  <c r="Q15" i="17" l="1"/>
  <c r="O15" i="17"/>
  <c r="E8" i="14" l="1"/>
  <c r="E9" i="14"/>
  <c r="I9" i="14" s="1"/>
  <c r="E13" i="23" s="1"/>
  <c r="E10" i="14"/>
  <c r="E11" i="14"/>
  <c r="I11" i="14" s="1"/>
  <c r="E15" i="23" s="1"/>
  <c r="E12" i="14"/>
  <c r="I12" i="14" s="1"/>
  <c r="E16" i="23" s="1"/>
  <c r="O19" i="14"/>
  <c r="M14" i="14"/>
  <c r="Q14" i="14" s="1"/>
  <c r="M11" i="6" s="1"/>
  <c r="M15" i="14"/>
  <c r="Q15" i="14" s="1"/>
  <c r="M12" i="6" s="1"/>
  <c r="M16" i="14"/>
  <c r="Q16" i="14" s="1"/>
  <c r="M13" i="6" s="1"/>
  <c r="M17" i="14"/>
  <c r="Q17" i="14" s="1"/>
  <c r="M14" i="6" s="1"/>
  <c r="M18" i="14"/>
  <c r="Q18" i="14" s="1"/>
  <c r="M15" i="6" s="1"/>
  <c r="M13" i="14"/>
  <c r="Q13" i="14" s="1"/>
  <c r="M10" i="6" s="1"/>
  <c r="M8" i="14"/>
  <c r="Q8" i="14" s="1"/>
  <c r="N12" i="23" s="1"/>
  <c r="M9" i="14"/>
  <c r="Q9" i="14" s="1"/>
  <c r="N13" i="23" s="1"/>
  <c r="M10" i="14"/>
  <c r="Q10" i="14" s="1"/>
  <c r="N14" i="23" s="1"/>
  <c r="M11" i="14"/>
  <c r="Q11" i="14" s="1"/>
  <c r="N15" i="23" s="1"/>
  <c r="M12" i="14"/>
  <c r="Q12" i="14" s="1"/>
  <c r="N16" i="23" s="1"/>
  <c r="M7" i="14"/>
  <c r="E7" i="14"/>
  <c r="K8" i="14"/>
  <c r="K9" i="14"/>
  <c r="K10" i="14"/>
  <c r="K11" i="14"/>
  <c r="K12" i="14"/>
  <c r="K7" i="14"/>
  <c r="K15" i="14"/>
  <c r="K16" i="14"/>
  <c r="K17" i="14"/>
  <c r="K18" i="14"/>
  <c r="K14" i="14"/>
  <c r="E14" i="14"/>
  <c r="I14" i="14" s="1"/>
  <c r="E11" i="6" s="1"/>
  <c r="E15" i="14"/>
  <c r="I15" i="14" s="1"/>
  <c r="E12" i="6" s="1"/>
  <c r="E16" i="14"/>
  <c r="I16" i="14" s="1"/>
  <c r="E13" i="6" s="1"/>
  <c r="E17" i="14"/>
  <c r="I17" i="14" s="1"/>
  <c r="E14" i="6" s="1"/>
  <c r="E18" i="14"/>
  <c r="I18" i="14" s="1"/>
  <c r="E15" i="6" s="1"/>
  <c r="E13" i="14"/>
  <c r="I13" i="14" s="1"/>
  <c r="E10" i="6" s="1"/>
  <c r="AG10" i="17"/>
  <c r="AG11" i="17"/>
  <c r="AG12" i="17"/>
  <c r="AG13" i="17"/>
  <c r="A3" i="17"/>
  <c r="AG9" i="17"/>
  <c r="AG14" i="17"/>
  <c r="T15" i="17"/>
  <c r="W15" i="17"/>
  <c r="AC15" i="17"/>
  <c r="AE15" i="17"/>
  <c r="I8" i="14"/>
  <c r="E12" i="23" s="1"/>
  <c r="I10" i="14"/>
  <c r="E14" i="23" s="1"/>
  <c r="I13" i="19"/>
  <c r="I10" i="19"/>
  <c r="I12" i="19" l="1"/>
  <c r="I11" i="19"/>
  <c r="AG15" i="17"/>
  <c r="W12" i="24"/>
  <c r="W11" i="24"/>
  <c r="W10" i="24"/>
  <c r="W13" i="24"/>
  <c r="W14" i="24"/>
  <c r="W9" i="24"/>
  <c r="O6" i="24"/>
  <c r="C6" i="24"/>
  <c r="I8" i="15" l="1"/>
  <c r="G8" i="15"/>
  <c r="E8" i="15"/>
  <c r="C7" i="1"/>
  <c r="E17" i="13"/>
  <c r="I17" i="13"/>
  <c r="Q7" i="14"/>
  <c r="N11" i="23" s="1"/>
  <c r="R11" i="23" s="1"/>
  <c r="S11" i="23" s="1"/>
  <c r="I7" i="14"/>
  <c r="E11" i="23" s="1"/>
  <c r="E17" i="23" s="1"/>
  <c r="Q8" i="15"/>
  <c r="O8" i="15"/>
  <c r="M8" i="15"/>
  <c r="M13" i="21"/>
  <c r="R12" i="23"/>
  <c r="S12" i="23" s="1"/>
  <c r="R13" i="23"/>
  <c r="S13" i="23" s="1"/>
  <c r="R14" i="23"/>
  <c r="S14" i="23" s="1"/>
  <c r="R15" i="23"/>
  <c r="S15" i="23" s="1"/>
  <c r="R16" i="23"/>
  <c r="S16" i="23" s="1"/>
  <c r="I12" i="23"/>
  <c r="J12" i="23" s="1"/>
  <c r="I13" i="23"/>
  <c r="J13" i="23" s="1"/>
  <c r="I14" i="23"/>
  <c r="J14" i="23" s="1"/>
  <c r="I15" i="23"/>
  <c r="J15" i="23" s="1"/>
  <c r="I16" i="23"/>
  <c r="J16" i="23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K17" i="2" s="1"/>
  <c r="I18" i="2"/>
  <c r="K18" i="2" s="1"/>
  <c r="I19" i="2"/>
  <c r="K19" i="2" s="1"/>
  <c r="I9" i="2"/>
  <c r="K9" i="2" s="1"/>
  <c r="I9" i="19"/>
  <c r="O13" i="21"/>
  <c r="G13" i="21"/>
  <c r="I13" i="21"/>
  <c r="P17" i="23"/>
  <c r="G17" i="23"/>
  <c r="C17" i="13"/>
  <c r="K17" i="13"/>
  <c r="C9" i="8"/>
  <c r="E9" i="8"/>
  <c r="G19" i="14"/>
  <c r="E19" i="14"/>
  <c r="G20" i="2"/>
  <c r="E20" i="2"/>
  <c r="C20" i="2"/>
  <c r="G15" i="24"/>
  <c r="E15" i="24"/>
  <c r="U15" i="24"/>
  <c r="S15" i="24"/>
  <c r="M15" i="24"/>
  <c r="J15" i="24"/>
  <c r="N17" i="23" l="1"/>
  <c r="I11" i="23"/>
  <c r="J11" i="23" s="1"/>
  <c r="I20" i="2"/>
  <c r="I19" i="14"/>
  <c r="E11" i="11"/>
  <c r="G16" i="7"/>
  <c r="G17" i="7"/>
  <c r="C16" i="7"/>
  <c r="Q10" i="21"/>
  <c r="K11" i="6" s="1"/>
  <c r="Q8" i="21"/>
  <c r="K14" i="6" s="1"/>
  <c r="Q7" i="21"/>
  <c r="K10" i="6" s="1"/>
  <c r="Q12" i="21"/>
  <c r="Q9" i="21"/>
  <c r="K13" i="6" s="1"/>
  <c r="K10" i="21"/>
  <c r="C11" i="6" s="1"/>
  <c r="K8" i="21"/>
  <c r="C14" i="6" s="1"/>
  <c r="K7" i="21"/>
  <c r="C10" i="6" s="1"/>
  <c r="K12" i="21"/>
  <c r="C12" i="6" s="1"/>
  <c r="K9" i="21"/>
  <c r="C13" i="6" s="1"/>
  <c r="K11" i="21"/>
  <c r="M19" i="14"/>
  <c r="I17" i="23" l="1"/>
  <c r="C15" i="6"/>
  <c r="K13" i="21"/>
  <c r="O16" i="6"/>
  <c r="M16" i="6"/>
  <c r="I15" i="6"/>
  <c r="G16" i="6"/>
  <c r="E16" i="6"/>
  <c r="C16" i="6"/>
  <c r="W15" i="24"/>
  <c r="Q19" i="14"/>
  <c r="Q11" i="21"/>
  <c r="K12" i="6" s="1"/>
  <c r="G9" i="7"/>
  <c r="G10" i="7"/>
  <c r="G11" i="7"/>
  <c r="G12" i="7"/>
  <c r="G13" i="7"/>
  <c r="G14" i="7"/>
  <c r="G15" i="7"/>
  <c r="M7" i="13"/>
  <c r="C9" i="7"/>
  <c r="C10" i="7"/>
  <c r="C11" i="7"/>
  <c r="C12" i="7"/>
  <c r="C13" i="7"/>
  <c r="C14" i="7"/>
  <c r="C15" i="7"/>
  <c r="C17" i="7"/>
  <c r="G7" i="13"/>
  <c r="C8" i="7" s="1"/>
  <c r="K7" i="11"/>
  <c r="G8" i="7" l="1"/>
  <c r="G18" i="7" s="1"/>
  <c r="M17" i="13"/>
  <c r="Q13" i="21"/>
  <c r="K15" i="6"/>
  <c r="G17" i="13"/>
  <c r="C18" i="7"/>
  <c r="Q14" i="6"/>
  <c r="I14" i="6"/>
  <c r="I10" i="6"/>
  <c r="I11" i="6"/>
  <c r="I12" i="6"/>
  <c r="I13" i="6"/>
  <c r="Q15" i="6" l="1"/>
  <c r="K16" i="6"/>
  <c r="E16" i="7"/>
  <c r="I8" i="7"/>
  <c r="I9" i="7"/>
  <c r="I14" i="7"/>
  <c r="I12" i="7"/>
  <c r="I10" i="7"/>
  <c r="I11" i="7"/>
  <c r="I15" i="7"/>
  <c r="I16" i="7"/>
  <c r="I13" i="7"/>
  <c r="I17" i="7"/>
  <c r="I16" i="6"/>
  <c r="K9" i="11" s="1"/>
  <c r="K10" i="11"/>
  <c r="S17" i="23"/>
  <c r="K8" i="11"/>
  <c r="K20" i="2" l="1"/>
  <c r="I37" i="2"/>
  <c r="Y9" i="24" l="1"/>
  <c r="U20" i="24" l="1"/>
  <c r="D15" i="24"/>
  <c r="A3" i="24" l="1"/>
  <c r="A3" i="1" l="1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I10" i="11" s="1"/>
  <c r="Q10" i="19"/>
  <c r="K11" i="11" l="1"/>
  <c r="K12" i="11" s="1"/>
  <c r="Q10" i="6"/>
  <c r="Q11" i="6"/>
  <c r="Q12" i="6"/>
  <c r="Q13" i="6"/>
  <c r="O7" i="1"/>
  <c r="E5" i="11"/>
  <c r="K20" i="11" l="1"/>
  <c r="Q16" i="6"/>
  <c r="E9" i="11" s="1"/>
  <c r="E8" i="11"/>
  <c r="I8" i="11" s="1"/>
  <c r="J17" i="23" l="1"/>
  <c r="I12" i="11"/>
  <c r="E12" i="11"/>
  <c r="E23" i="14"/>
  <c r="K13" i="15"/>
  <c r="W24" i="13"/>
  <c r="G7" i="11" l="1"/>
  <c r="E20" i="11"/>
  <c r="G11" i="11"/>
  <c r="E16" i="11"/>
  <c r="M16" i="21"/>
  <c r="G16" i="21"/>
  <c r="C18" i="6" l="1"/>
  <c r="M23" i="14" l="1"/>
  <c r="E20" i="23"/>
  <c r="Q23" i="14" l="1"/>
  <c r="I24" i="14"/>
  <c r="D17" i="13" l="1"/>
  <c r="F17" i="13"/>
  <c r="H17" i="13"/>
  <c r="J17" i="13"/>
  <c r="L17" i="13"/>
  <c r="Q13" i="15" l="1"/>
  <c r="M13" i="15"/>
  <c r="N7" i="13" l="1"/>
  <c r="N14" i="13"/>
  <c r="N16" i="13"/>
  <c r="M11" i="1" l="1"/>
  <c r="J11" i="1"/>
  <c r="S16" i="13" l="1"/>
  <c r="T16" i="13" s="1"/>
  <c r="S7" i="13"/>
  <c r="T7" i="13" l="1"/>
  <c r="S14" i="13" l="1"/>
  <c r="T14" i="13" l="1"/>
  <c r="V8" i="15" l="1"/>
  <c r="U9" i="15"/>
  <c r="T9" i="15"/>
  <c r="S9" i="15"/>
  <c r="V9" i="15" l="1"/>
  <c r="I18" i="7" l="1"/>
  <c r="G9" i="11" l="1"/>
  <c r="G10" i="11"/>
  <c r="G8" i="11"/>
  <c r="F20" i="2"/>
  <c r="H20" i="2"/>
  <c r="J20" i="2"/>
  <c r="G12" i="11" l="1"/>
  <c r="J13" i="21"/>
  <c r="F13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5" i="7" l="1"/>
  <c r="E13" i="7"/>
  <c r="E10" i="7"/>
  <c r="E11" i="7"/>
  <c r="E17" i="7"/>
  <c r="E12" i="7"/>
  <c r="E14" i="7"/>
  <c r="E8" i="7"/>
  <c r="E18" i="7" l="1"/>
</calcChain>
</file>

<file path=xl/sharedStrings.xml><?xml version="1.0" encoding="utf-8"?>
<sst xmlns="http://schemas.openxmlformats.org/spreadsheetml/2006/main" count="447" uniqueCount="192">
  <si>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</si>
  <si>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</si>
  <si>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</si>
  <si>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</si>
  <si>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</si>
  <si>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</si>
  <si>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</si>
  <si>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</si>
  <si>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</si>
  <si>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</si>
  <si>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</si>
  <si>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</si>
  <si>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</si>
  <si>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</si>
  <si>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</si>
  <si>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</si>
  <si>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</si>
  <si>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</si>
  <si>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</si>
  <si>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</si>
  <si>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</si>
  <si>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</si>
  <si>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</si>
  <si>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</si>
  <si>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</si>
  <si>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</si>
  <si>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</si>
  <si>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</si>
  <si>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</si>
  <si>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</si>
  <si>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</si>
  <si>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</si>
  <si>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</si>
  <si>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</si>
  <si>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</si>
  <si>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</si>
  <si>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</si>
  <si>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</si>
  <si>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</si>
  <si>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</si>
  <si>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</si>
  <si>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</si>
  <si>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</si>
  <si>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</si>
  <si>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</si>
  <si>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</si>
  <si>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</si>
  <si>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</si>
  <si>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</si>
  <si>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</si>
  <si>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</si>
  <si>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</si>
  <si>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</si>
  <si>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</si>
  <si>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</si>
  <si>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</si>
  <si>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</si>
  <si>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</si>
  <si>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</si>
  <si>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</si>
  <si>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</si>
  <si>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</si>
  <si>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</si>
  <si>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</si>
  <si>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</si>
  <si>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</si>
  <si>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</si>
  <si>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</si>
  <si>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</si>
  <si>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</si>
  <si>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</si>
  <si>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</si>
  <si>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</si>
  <si>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</si>
  <si>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</si>
  <si>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</si>
  <si>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</si>
  <si>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</si>
  <si>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</si>
  <si>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</si>
  <si>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</si>
  <si>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</si>
  <si>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</si>
  <si>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</si>
  <si>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</si>
  <si>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</si>
  <si>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</si>
  <si>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مرابحه عالیس-کیان070224 (عالیس072)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</si>
  <si>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</si>
  <si>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</si>
  <si>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</si>
  <si>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</si>
  <si>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</si>
  <si>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</si>
  <si>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</si>
  <si>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</si>
  <si>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</si>
  <si>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</si>
  <si>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</si>
  <si>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</si>
  <si>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</si>
  <si>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</si>
  <si>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</si>
  <si>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</si>
  <si>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</si>
  <si>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</si>
  <si>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</si>
  <si>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</si>
  <si>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</si>
  <si>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</si>
  <si>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</si>
  <si>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</si>
  <si>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</si>
  <si>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</si>
  <si>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</si>
  <si>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</si>
  <si>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</si>
  <si>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</si>
  <si>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</si>
  <si>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</si>
  <si>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</si>
  <si>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</si>
  <si>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لوازم مادیران063</t>
  </si>
  <si>
    <t>صکوک مرابحه فروس670-بدون ضامن (صفروس670)</t>
  </si>
  <si>
    <t>1406/07/29</t>
  </si>
  <si>
    <t xml:space="preserve"> شرکت فروسیلیس ایران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</si>
  <si>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</si>
  <si>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</si>
  <si>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</si>
  <si>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</si>
  <si>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</si>
  <si>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</si>
  <si>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</si>
  <si>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</si>
  <si>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</si>
  <si>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</si>
  <si>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</si>
  <si>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</si>
  <si>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</si>
  <si>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</si>
  <si>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</si>
  <si>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</si>
  <si>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</si>
  <si>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</si>
  <si>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</si>
  <si>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</si>
  <si>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> بانک شهر 7001004144834</t>
  </si>
  <si>
    <t>واحد عادی صندوق اهرمی موج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</si>
  <si>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</si>
  <si>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</si>
  <si>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</si>
  <si>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</si>
  <si>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</si>
  <si>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سامان</t>
  </si>
  <si>
    <t>بانک صادرات</t>
  </si>
  <si>
    <t>بانک گردشگری</t>
  </si>
  <si>
    <t>بانک مسکن</t>
  </si>
  <si>
    <t>بانک ملل</t>
  </si>
  <si>
    <t>بانک اقتصادنوین</t>
  </si>
  <si>
    <t>مرابحه عام دولت186-ش.خ051124 (اراد186)</t>
  </si>
  <si>
    <t>1405/11/24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</si>
  <si>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</si>
  <si>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</si>
  <si>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</si>
  <si>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</si>
  <si>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</si>
  <si>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</si>
  <si>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</si>
  <si>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</si>
  <si>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</si>
  <si>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</si>
  <si>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درآمد یک ماهه منتهی به 1404/10/30</t>
  </si>
  <si>
    <t>کل دارایی ها</t>
  </si>
  <si>
    <t>کل درآمد ها</t>
  </si>
  <si>
    <t>کل درآمد ها طی دوره</t>
  </si>
  <si>
    <t>موسسه اعتباری ملل</t>
  </si>
  <si>
    <t>بانک اقتصاد نوین</t>
  </si>
  <si>
    <t>1402/06/29</t>
  </si>
  <si>
    <t>1403/02/24</t>
  </si>
  <si>
    <t>1403/07/24</t>
  </si>
  <si>
    <t>1403/07/29</t>
  </si>
  <si>
    <t>1403/12/14</t>
  </si>
  <si>
    <t>از ابتدای سال مالی تا پایان بهمن ماه</t>
  </si>
  <si>
    <t>‫طی بهمن ماه</t>
  </si>
  <si>
    <t>1404/12/29</t>
  </si>
  <si>
    <t>منتهی به 1405/01/31</t>
  </si>
  <si>
    <t xml:space="preserve"> 1405/01/31</t>
  </si>
  <si>
    <t>از تاریخ 1405/01/01  الی 1405/01/31</t>
  </si>
  <si>
    <t>طی فروردین ماه</t>
  </si>
  <si>
    <t>از ابتدای سال مالی تا پایان فروردین ماه</t>
  </si>
  <si>
    <t>1405/01/31</t>
  </si>
  <si>
    <t>2-2-درآمد حاصل از سرمایه­‌گذاری در واحدهای صندوق: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</si>
</sst>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_-;[Red]\(#,##0\)"/>
    <numFmt numFmtId="166" formatCode="_-* #,##0_-;_-* #,##0\-;_-* &quot;-&quot;??_-;_-@_-"/>
    <numFmt numFmtId="167" formatCode="_-* #,##0.00000000_-;_-* #,##0.00000000\-;_-* &quot;-&quot;??_-;_-@_-"/>
    <numFmt numFmtId="168" formatCode="0.0%"/>
    <numFmt numFmtId="169" formatCode="_(* #,##0.00000000_);_(* \(#,##0.00000000\);_(* &quot;-&quot;??_);_(@_)"/>
    <numFmt numFmtId="170" formatCode="_(* #,##0.0000000_);_(* \(#,##0.0000000\);_(* &quot;-&quot;??_);_(@_)"/>
    <numFmt numFmtId="171" formatCode="_(* #,##0.0_);_(* \(#,##0.0\);_(* &quot;-&quot;??_);_(@_)"/>
    <numFmt numFmtId="172" formatCode="_(* #,##0.0000_);_(* \(#,##0.0000\);_(* &quot;-&quot;??_);_(@_)"/>
  </numFmts>
  <fonts count="7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  <font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508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4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5" fontId="22" fillId="0" borderId="4" xfId="0" applyNumberFormat="1" applyFont="1" applyBorder="1" applyAlignment="1">
      <alignment horizontal="center" vertical="center" wrapText="1" readingOrder="2"/>
    </xf>
    <xf numFmtId="165" fontId="22" fillId="0" borderId="4" xfId="1" applyNumberFormat="1" applyFont="1" applyBorder="1" applyAlignment="1">
      <alignment horizontal="center" vertical="center" wrapText="1" readingOrder="2"/>
    </xf>
    <xf numFmtId="165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readingOrder="2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 readingOrder="2"/>
    </xf>
    <xf numFmtId="164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4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4" fontId="19" fillId="0" borderId="0" xfId="1" applyNumberFormat="1" applyFont="1" applyAlignment="1">
      <alignment vertical="center"/>
    </xf>
    <xf numFmtId="164" fontId="19" fillId="0" borderId="8" xfId="1" applyNumberFormat="1" applyFont="1" applyBorder="1" applyAlignment="1">
      <alignment vertical="center"/>
    </xf>
    <xf numFmtId="164" fontId="19" fillId="0" borderId="0" xfId="1" applyNumberFormat="1" applyFont="1" applyAlignment="1">
      <alignment horizontal="center" vertical="center" wrapText="1" shrinkToFit="1"/>
    </xf>
    <xf numFmtId="164" fontId="14" fillId="0" borderId="0" xfId="1" applyNumberFormat="1" applyFont="1" applyAlignment="1">
      <alignment vertical="center"/>
    </xf>
    <xf numFmtId="164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165" fontId="15" fillId="0" borderId="0" xfId="1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4" fontId="23" fillId="0" borderId="1" xfId="1" applyNumberFormat="1" applyFont="1" applyBorder="1" applyAlignment="1">
      <alignment horizontal="center" vertical="center" wrapText="1" readingOrder="2"/>
    </xf>
    <xf numFmtId="165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4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5" fontId="37" fillId="0" borderId="0" xfId="1" applyNumberFormat="1" applyFont="1" applyAlignment="1">
      <alignment vertical="center"/>
    </xf>
    <xf numFmtId="165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4" fontId="8" fillId="0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Fill="1" applyAlignment="1">
      <alignment vertical="center"/>
    </xf>
    <xf numFmtId="164" fontId="15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4" fontId="9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164" fontId="14" fillId="0" borderId="0" xfId="1" applyNumberFormat="1" applyFont="1" applyFill="1"/>
    <xf numFmtId="164" fontId="14" fillId="0" borderId="4" xfId="1" applyNumberFormat="1" applyFont="1" applyFill="1" applyBorder="1" applyAlignment="1">
      <alignment horizontal="center" vertical="center" wrapText="1"/>
    </xf>
    <xf numFmtId="164" fontId="14" fillId="0" borderId="0" xfId="1" applyNumberFormat="1" applyFont="1" applyFill="1" applyAlignment="1">
      <alignment horizontal="center" vertical="center" wrapText="1"/>
    </xf>
    <xf numFmtId="164" fontId="19" fillId="0" borderId="0" xfId="1" applyNumberFormat="1" applyFont="1" applyFill="1"/>
    <xf numFmtId="165" fontId="9" fillId="0" borderId="0" xfId="1" applyNumberFormat="1" applyFont="1" applyFill="1" applyAlignment="1">
      <alignment horizontal="center" vertical="center"/>
    </xf>
    <xf numFmtId="164" fontId="13" fillId="0" borderId="0" xfId="1" applyNumberFormat="1" applyFont="1" applyFill="1"/>
    <xf numFmtId="165" fontId="13" fillId="0" borderId="0" xfId="1" applyNumberFormat="1" applyFont="1" applyFill="1"/>
    <xf numFmtId="164" fontId="27" fillId="0" borderId="14" xfId="1" applyNumberFormat="1" applyFont="1" applyFill="1" applyBorder="1" applyAlignment="1">
      <alignment horizontal="center" vertical="center" wrapText="1" readingOrder="2"/>
    </xf>
    <xf numFmtId="164" fontId="19" fillId="0" borderId="0" xfId="1" applyNumberFormat="1" applyFont="1" applyFill="1" applyAlignment="1">
      <alignment vertical="center" wrapText="1"/>
    </xf>
    <xf numFmtId="164" fontId="19" fillId="0" borderId="3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vertical="center" wrapText="1"/>
    </xf>
    <xf numFmtId="164" fontId="8" fillId="0" borderId="0" xfId="1" applyNumberFormat="1" applyFont="1" applyFill="1" applyAlignment="1"/>
    <xf numFmtId="166" fontId="42" fillId="0" borderId="0" xfId="1" applyNumberFormat="1" applyFont="1" applyFill="1" applyAlignment="1">
      <alignment horizontal="left" vertical="center" wrapText="1" shrinkToFit="1"/>
    </xf>
    <xf numFmtId="164" fontId="42" fillId="0" borderId="0" xfId="1" applyNumberFormat="1" applyFont="1" applyFill="1" applyAlignment="1">
      <alignment horizontal="left" vertical="center" wrapText="1" shrinkToFit="1"/>
    </xf>
    <xf numFmtId="167" fontId="42" fillId="0" borderId="0" xfId="1" applyNumberFormat="1" applyFont="1" applyFill="1" applyAlignment="1">
      <alignment horizontal="left" vertical="center" wrapText="1" shrinkToFit="1"/>
    </xf>
    <xf numFmtId="164" fontId="0" fillId="0" borderId="0" xfId="1" applyNumberFormat="1" applyFont="1" applyFill="1"/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4" fontId="0" fillId="0" borderId="0" xfId="0" applyNumberForma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4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4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4" fontId="13" fillId="0" borderId="0" xfId="1" applyNumberFormat="1" applyFont="1" applyFill="1" applyAlignment="1"/>
    <xf numFmtId="164" fontId="13" fillId="0" borderId="0" xfId="0" applyNumberFormat="1" applyFont="1"/>
    <xf numFmtId="3" fontId="13" fillId="0" borderId="0" xfId="0" applyNumberFormat="1" applyFont="1"/>
    <xf numFmtId="164" fontId="44" fillId="0" borderId="0" xfId="1" applyNumberFormat="1" applyFont="1" applyFill="1" applyAlignment="1"/>
    <xf numFmtId="164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4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4" fontId="19" fillId="0" borderId="0" xfId="1" applyNumberFormat="1" applyFont="1"/>
    <xf numFmtId="164" fontId="9" fillId="0" borderId="0" xfId="1" applyNumberFormat="1" applyFont="1"/>
    <xf numFmtId="168" fontId="19" fillId="0" borderId="0" xfId="2" applyNumberFormat="1" applyFont="1"/>
    <xf numFmtId="168" fontId="9" fillId="0" borderId="0" xfId="2" applyNumberFormat="1" applyFont="1"/>
    <xf numFmtId="9" fontId="9" fillId="0" borderId="0" xfId="2" applyFont="1"/>
    <xf numFmtId="164" fontId="9" fillId="0" borderId="0" xfId="1" applyNumberFormat="1" applyFont="1" applyFill="1" applyBorder="1" applyAlignment="1">
      <alignment horizontal="center" vertical="center"/>
    </xf>
    <xf numFmtId="168" fontId="19" fillId="0" borderId="0" xfId="0" applyNumberFormat="1" applyFont="1"/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0" fontId="0" fillId="0" borderId="0" xfId="1" applyNumberFormat="1" applyFont="1" applyFill="1"/>
    <xf numFmtId="169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4" fontId="14" fillId="0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164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1" applyNumberFormat="1" applyFont="1" applyFill="1" applyBorder="1" applyAlignment="1">
      <alignment vertical="center"/>
    </xf>
    <xf numFmtId="164" fontId="41" fillId="0" borderId="0" xfId="1" applyNumberFormat="1" applyFont="1" applyAlignment="1">
      <alignment horizontal="center" vertical="center" wrapText="1" shrinkToFit="1"/>
    </xf>
    <xf numFmtId="164" fontId="22" fillId="0" borderId="0" xfId="1" applyNumberFormat="1" applyFont="1" applyFill="1" applyBorder="1" applyAlignment="1">
      <alignment horizontal="center" vertical="center" wrapText="1" readingOrder="2"/>
    </xf>
    <xf numFmtId="164" fontId="35" fillId="0" borderId="0" xfId="1" applyNumberFormat="1" applyFont="1" applyFill="1" applyBorder="1" applyAlignment="1">
      <alignment horizontal="center" vertical="center" wrapText="1" readingOrder="2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8" fillId="0" borderId="0" xfId="0" applyFont="1"/>
    <xf numFmtId="0" fontId="58" fillId="0" borderId="1" xfId="0" applyFont="1" applyBorder="1"/>
    <xf numFmtId="0" fontId="59" fillId="0" borderId="0" xfId="0" applyFont="1" applyAlignment="1">
      <alignment vertical="center" wrapText="1" readingOrder="2"/>
    </xf>
    <xf numFmtId="0" fontId="58" fillId="0" borderId="0" xfId="0" applyFont="1" applyAlignment="1">
      <alignment vertical="center" wrapText="1"/>
    </xf>
    <xf numFmtId="0" fontId="59" fillId="0" borderId="4" xfId="0" applyFont="1" applyBorder="1" applyAlignment="1">
      <alignment horizontal="center" vertical="center" wrapText="1" readingOrder="2"/>
    </xf>
    <xf numFmtId="0" fontId="60" fillId="0" borderId="0" xfId="0" applyFont="1" applyAlignment="1">
      <alignment horizontal="right" vertical="center" wrapText="1" readingOrder="2"/>
    </xf>
    <xf numFmtId="43" fontId="60" fillId="0" borderId="8" xfId="0" applyNumberFormat="1" applyFont="1" applyBorder="1" applyAlignment="1">
      <alignment horizontal="center" vertical="center" wrapText="1" readingOrder="2"/>
    </xf>
    <xf numFmtId="164" fontId="20" fillId="0" borderId="0" xfId="1" applyNumberFormat="1" applyFont="1" applyFill="1" applyBorder="1" applyAlignment="1">
      <alignment horizontal="center" vertical="center"/>
    </xf>
    <xf numFmtId="164" fontId="61" fillId="0" borderId="0" xfId="1" applyNumberFormat="1" applyFont="1"/>
    <xf numFmtId="3" fontId="62" fillId="0" borderId="0" xfId="0" applyNumberFormat="1" applyFont="1"/>
    <xf numFmtId="164" fontId="15" fillId="0" borderId="0" xfId="0" applyNumberFormat="1" applyFont="1"/>
    <xf numFmtId="164" fontId="52" fillId="0" borderId="0" xfId="1" applyNumberFormat="1" applyFont="1" applyFill="1"/>
    <xf numFmtId="164" fontId="64" fillId="0" borderId="0" xfId="1" applyNumberFormat="1" applyFont="1" applyFill="1" applyBorder="1" applyAlignment="1">
      <alignment horizontal="center" vertical="center" wrapText="1" readingOrder="2"/>
    </xf>
    <xf numFmtId="164" fontId="52" fillId="0" borderId="0" xfId="1" applyNumberFormat="1" applyFont="1" applyFill="1" applyBorder="1" applyAlignment="1">
      <alignment horizontal="center" vertical="center" wrapText="1"/>
    </xf>
    <xf numFmtId="164" fontId="52" fillId="0" borderId="0" xfId="1" applyNumberFormat="1" applyFont="1" applyFill="1" applyAlignment="1">
      <alignment vertical="center"/>
    </xf>
    <xf numFmtId="165" fontId="22" fillId="0" borderId="3" xfId="1" applyNumberFormat="1" applyFont="1" applyBorder="1" applyAlignment="1">
      <alignment horizontal="center" vertical="center" wrapText="1" readingOrder="2"/>
    </xf>
    <xf numFmtId="164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5" fontId="22" fillId="0" borderId="3" xfId="0" applyNumberFormat="1" applyFont="1" applyBorder="1" applyAlignment="1">
      <alignment horizontal="center" vertical="center" wrapText="1" readingOrder="2"/>
    </xf>
    <xf numFmtId="164" fontId="11" fillId="0" borderId="8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0" fontId="60" fillId="0" borderId="0" xfId="0" applyFont="1" applyAlignment="1">
      <alignment vertical="center" wrapText="1" readingOrder="2"/>
    </xf>
    <xf numFmtId="164" fontId="19" fillId="0" borderId="0" xfId="1" applyNumberFormat="1" applyFont="1" applyFill="1" applyAlignment="1">
      <alignment horizontal="center" vertical="center"/>
    </xf>
    <xf numFmtId="164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5" fillId="0" borderId="0" xfId="0" applyFont="1" applyAlignment="1">
      <alignment horizontal="center" vertical="center" wrapText="1"/>
    </xf>
    <xf numFmtId="164" fontId="6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Fill="1" applyAlignment="1">
      <alignment horizontal="center"/>
    </xf>
    <xf numFmtId="37" fontId="55" fillId="0" borderId="0" xfId="0" quotePrefix="1" applyNumberFormat="1" applyFont="1" applyAlignment="1">
      <alignment horizontal="right" vertical="center" wrapText="1"/>
    </xf>
    <xf numFmtId="164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4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4" fontId="20" fillId="0" borderId="0" xfId="1" applyNumberFormat="1" applyFont="1" applyAlignment="1">
      <alignment horizontal="center"/>
    </xf>
    <xf numFmtId="3" fontId="58" fillId="0" borderId="0" xfId="0" applyNumberFormat="1" applyFont="1"/>
    <xf numFmtId="164" fontId="58" fillId="0" borderId="0" xfId="0" applyNumberFormat="1" applyFont="1"/>
    <xf numFmtId="0" fontId="66" fillId="0" borderId="0" xfId="0" applyFont="1"/>
    <xf numFmtId="164" fontId="66" fillId="0" borderId="0" xfId="1" applyNumberFormat="1" applyFont="1" applyFill="1"/>
    <xf numFmtId="164" fontId="40" fillId="0" borderId="0" xfId="1" applyNumberFormat="1" applyFont="1"/>
    <xf numFmtId="164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4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4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5" fillId="0" borderId="0" xfId="0" applyNumberFormat="1" applyFont="1" applyAlignment="1">
      <alignment horizontal="center" vertical="center"/>
    </xf>
    <xf numFmtId="0" fontId="20" fillId="0" borderId="0" xfId="0" applyFont="1"/>
    <xf numFmtId="164" fontId="20" fillId="0" borderId="8" xfId="1" applyNumberFormat="1" applyFont="1" applyFill="1" applyBorder="1" applyAlignment="1">
      <alignment vertical="center"/>
    </xf>
    <xf numFmtId="164" fontId="20" fillId="0" borderId="0" xfId="1" applyNumberFormat="1" applyFont="1" applyFill="1" applyAlignment="1">
      <alignment vertical="center"/>
    </xf>
    <xf numFmtId="168" fontId="19" fillId="0" borderId="0" xfId="2" applyNumberFormat="1" applyFont="1" applyFill="1"/>
    <xf numFmtId="168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4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4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7" fillId="0" borderId="0" xfId="0" applyNumberFormat="1" applyFont="1" applyAlignment="1">
      <alignment horizontal="center" vertical="center" wrapText="1"/>
    </xf>
    <xf numFmtId="9" fontId="52" fillId="0" borderId="0" xfId="0" applyNumberFormat="1" applyFont="1"/>
    <xf numFmtId="164" fontId="63" fillId="0" borderId="0" xfId="0" applyNumberFormat="1" applyFont="1"/>
    <xf numFmtId="164" fontId="63" fillId="0" borderId="0" xfId="1" applyNumberFormat="1" applyFont="1" applyFill="1"/>
    <xf numFmtId="168" fontId="9" fillId="0" borderId="0" xfId="0" applyNumberFormat="1" applyFont="1"/>
    <xf numFmtId="168" fontId="52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4" fontId="19" fillId="0" borderId="8" xfId="1" applyNumberFormat="1" applyFont="1" applyFill="1" applyBorder="1" applyAlignment="1">
      <alignment vertical="center"/>
    </xf>
    <xf numFmtId="164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20" fillId="0" borderId="8" xfId="1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" fontId="15" fillId="0" borderId="0" xfId="0" applyNumberFormat="1" applyFont="1" applyAlignment="1">
      <alignment horizontal="right"/>
    </xf>
    <xf numFmtId="165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/>
    <xf numFmtId="165" fontId="17" fillId="0" borderId="1" xfId="1" applyNumberFormat="1" applyFont="1" applyFill="1" applyBorder="1" applyAlignment="1">
      <alignment horizontal="center" vertical="center"/>
    </xf>
    <xf numFmtId="165" fontId="17" fillId="0" borderId="0" xfId="1" applyNumberFormat="1" applyFont="1" applyFill="1" applyAlignment="1">
      <alignment horizontal="center" vertical="center"/>
    </xf>
    <xf numFmtId="165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43" fontId="41" fillId="0" borderId="0" xfId="1" applyFont="1" applyAlignment="1">
      <alignment horizontal="center" vertical="center" wrapText="1" shrinkToFit="1"/>
    </xf>
    <xf numFmtId="172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4" fontId="8" fillId="0" borderId="0" xfId="1" applyNumberFormat="1" applyFont="1" applyBorder="1" applyAlignment="1">
      <alignment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7" fillId="0" borderId="0" xfId="0" quotePrefix="1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center" vertical="center"/>
    </xf>
    <xf numFmtId="10" fontId="67" fillId="0" borderId="0" xfId="2" applyNumberFormat="1" applyFont="1" applyAlignment="1">
      <alignment horizontal="center" vertical="center"/>
    </xf>
    <xf numFmtId="164" fontId="14" fillId="0" borderId="2" xfId="1" applyNumberFormat="1" applyFont="1" applyBorder="1" applyAlignment="1">
      <alignment horizontal="right" vertical="center" readingOrder="2"/>
    </xf>
    <xf numFmtId="164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5" fillId="0" borderId="0" xfId="2" applyFont="1" applyFill="1" applyAlignment="1">
      <alignment horizontal="center" vertical="center" wrapText="1"/>
    </xf>
    <xf numFmtId="164" fontId="65" fillId="0" borderId="0" xfId="1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 readingOrder="2"/>
    </xf>
    <xf numFmtId="164" fontId="65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4" fontId="19" fillId="0" borderId="0" xfId="1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 readingOrder="2"/>
    </xf>
    <xf numFmtId="164" fontId="58" fillId="0" borderId="0" xfId="1" applyNumberFormat="1" applyFont="1"/>
    <xf numFmtId="168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4" fontId="32" fillId="0" borderId="0" xfId="1" applyNumberFormat="1" applyFont="1" applyAlignment="1">
      <alignment horizontal="center" vertical="center"/>
    </xf>
    <xf numFmtId="164" fontId="32" fillId="2" borderId="0" xfId="1" applyNumberFormat="1" applyFont="1" applyFill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4" fontId="41" fillId="0" borderId="0" xfId="1" applyNumberFormat="1" applyFont="1" applyAlignment="1">
      <alignment horizontal="center" vertical="center" shrinkToFit="1"/>
    </xf>
    <xf numFmtId="164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4" fontId="19" fillId="0" borderId="0" xfId="1" applyNumberFormat="1" applyFont="1" applyAlignment="1">
      <alignment horizontal="right" vertical="center" readingOrder="2"/>
    </xf>
    <xf numFmtId="0" fontId="70" fillId="0" borderId="0" xfId="0" applyFont="1" applyAlignment="1">
      <alignment vertical="center" readingOrder="2"/>
    </xf>
    <xf numFmtId="168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68" fontId="19" fillId="0" borderId="0" xfId="2" applyNumberFormat="1" applyFont="1" applyAlignment="1">
      <alignment horizontal="center" vertical="center" readingOrder="2"/>
    </xf>
    <xf numFmtId="168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4" fontId="65" fillId="0" borderId="2" xfId="0" applyNumberFormat="1" applyFont="1" applyBorder="1" applyAlignment="1">
      <alignment horizontal="center" vertical="center" readingOrder="2"/>
    </xf>
    <xf numFmtId="0" fontId="65" fillId="0" borderId="0" xfId="0" applyFont="1" applyAlignment="1">
      <alignment horizontal="center"/>
    </xf>
    <xf numFmtId="164" fontId="65" fillId="0" borderId="0" xfId="0" applyNumberFormat="1" applyFont="1" applyAlignment="1">
      <alignment horizontal="center" vertical="center" readingOrder="2"/>
    </xf>
    <xf numFmtId="164" fontId="65" fillId="0" borderId="0" xfId="0" applyNumberFormat="1" applyFont="1" applyAlignment="1">
      <alignment horizontal="center"/>
    </xf>
    <xf numFmtId="10" fontId="65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68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68" fontId="28" fillId="0" borderId="8" xfId="2" applyNumberFormat="1" applyFont="1" applyBorder="1" applyAlignment="1">
      <alignment horizontal="center" wrapText="1" readingOrder="2"/>
    </xf>
    <xf numFmtId="164" fontId="28" fillId="0" borderId="0" xfId="0" applyNumberFormat="1" applyFont="1" applyAlignment="1">
      <alignment horizontal="center" wrapText="1" readingOrder="2"/>
    </xf>
    <xf numFmtId="164" fontId="28" fillId="0" borderId="8" xfId="0" applyNumberFormat="1" applyFont="1" applyBorder="1" applyAlignment="1">
      <alignment horizontal="center" wrapText="1" readingOrder="2"/>
    </xf>
    <xf numFmtId="164" fontId="19" fillId="0" borderId="8" xfId="1" applyNumberFormat="1" applyFont="1" applyBorder="1" applyAlignment="1">
      <alignment horizontal="right" vertical="center" readingOrder="2"/>
    </xf>
    <xf numFmtId="0" fontId="60" fillId="0" borderId="1" xfId="0" applyFont="1" applyBorder="1" applyAlignment="1">
      <alignment horizontal="center" vertical="center" wrapText="1" readingOrder="2"/>
    </xf>
    <xf numFmtId="164" fontId="71" fillId="0" borderId="8" xfId="1" applyNumberFormat="1" applyFont="1" applyFill="1" applyBorder="1" applyAlignment="1">
      <alignment vertical="center"/>
    </xf>
    <xf numFmtId="164" fontId="72" fillId="0" borderId="0" xfId="1" applyNumberFormat="1" applyFont="1" applyFill="1" applyBorder="1" applyAlignment="1">
      <alignment vertical="center" wrapText="1" readingOrder="2"/>
    </xf>
    <xf numFmtId="164" fontId="19" fillId="0" borderId="0" xfId="1" applyNumberFormat="1" applyFont="1" applyFill="1" applyAlignment="1">
      <alignment horizontal="right" vertical="center" readingOrder="2"/>
    </xf>
    <xf numFmtId="164" fontId="19" fillId="0" borderId="1" xfId="1" applyNumberFormat="1" applyFont="1" applyFill="1" applyBorder="1" applyAlignment="1">
      <alignment horizontal="right" vertical="center" readingOrder="2"/>
    </xf>
    <xf numFmtId="0" fontId="73" fillId="0" borderId="0" xfId="0" applyFont="1"/>
    <xf numFmtId="0" fontId="74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4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4" fontId="73" fillId="0" borderId="0" xfId="0" applyNumberFormat="1" applyFont="1"/>
    <xf numFmtId="164" fontId="11" fillId="0" borderId="0" xfId="1" applyNumberFormat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 wrapText="1" readingOrder="2"/>
    </xf>
    <xf numFmtId="164" fontId="0" fillId="0" borderId="0" xfId="1" applyNumberFormat="1" applyFont="1"/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164" fontId="16" fillId="0" borderId="0" xfId="0" applyNumberFormat="1" applyFont="1" applyAlignment="1">
      <alignment horizontal="center"/>
    </xf>
    <xf numFmtId="3" fontId="75" fillId="0" borderId="0" xfId="0" applyNumberFormat="1" applyFont="1"/>
    <xf numFmtId="3" fontId="76" fillId="0" borderId="0" xfId="0" applyNumberFormat="1" applyFont="1"/>
    <xf numFmtId="164" fontId="19" fillId="0" borderId="0" xfId="1" applyNumberFormat="1" applyFont="1" applyFill="1" applyAlignment="1"/>
    <xf numFmtId="0" fontId="5" fillId="0" borderId="0" xfId="0" applyFont="1" applyAlignment="1">
      <alignment horizontal="right" vertical="center" wrapText="1" readingOrder="2"/>
    </xf>
    <xf numFmtId="0" fontId="0" fillId="0" borderId="0" xfId="0" applyFill="1"/>
    <xf numFmtId="164" fontId="0" fillId="0" borderId="0" xfId="0" applyNumberFormat="1" applyFill="1"/>
    <xf numFmtId="171" fontId="0" fillId="0" borderId="0" xfId="1" applyNumberFormat="1" applyFont="1" applyFill="1" applyAlignment="1">
      <alignment horizontal="right"/>
    </xf>
    <xf numFmtId="164" fontId="41" fillId="0" borderId="0" xfId="0" applyNumberFormat="1" applyFont="1" applyFill="1" applyAlignment="1">
      <alignment horizontal="left" vertical="center" wrapText="1" shrinkToFit="1"/>
    </xf>
    <xf numFmtId="3" fontId="38" fillId="0" borderId="0" xfId="0" applyNumberFormat="1" applyFont="1" applyFill="1"/>
    <xf numFmtId="37" fontId="1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9" fillId="0" borderId="0" xfId="0" applyFont="1" applyFill="1"/>
    <xf numFmtId="164" fontId="68" fillId="2" borderId="0" xfId="1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164" fontId="19" fillId="0" borderId="17" xfId="1" applyNumberFormat="1" applyFont="1" applyFill="1" applyBorder="1" applyAlignment="1">
      <alignment horizontal="center" readingOrder="2"/>
    </xf>
    <xf numFmtId="164" fontId="68" fillId="2" borderId="18" xfId="1" applyNumberFormat="1" applyFont="1" applyFill="1" applyBorder="1" applyAlignment="1">
      <alignment horizontal="center"/>
    </xf>
    <xf numFmtId="164" fontId="19" fillId="0" borderId="20" xfId="1" applyNumberFormat="1" applyFont="1" applyFill="1" applyBorder="1" applyAlignment="1">
      <alignment horizontal="center" readingOrder="2"/>
    </xf>
    <xf numFmtId="164" fontId="19" fillId="0" borderId="15" xfId="1" applyNumberFormat="1" applyFont="1" applyBorder="1" applyAlignment="1">
      <alignment horizontal="center" readingOrder="2"/>
    </xf>
    <xf numFmtId="164" fontId="19" fillId="0" borderId="22" xfId="1" applyNumberFormat="1" applyFont="1" applyFill="1" applyBorder="1" applyAlignment="1">
      <alignment horizontal="center" readingOrder="2"/>
    </xf>
    <xf numFmtId="164" fontId="19" fillId="0" borderId="23" xfId="1" applyNumberFormat="1" applyFont="1" applyBorder="1" applyAlignment="1">
      <alignment horizontal="center" readingOrder="2"/>
    </xf>
    <xf numFmtId="164" fontId="77" fillId="0" borderId="0" xfId="1" applyNumberFormat="1" applyFont="1" applyAlignment="1">
      <alignment horizontal="right" vertical="center" shrinkToFit="1"/>
    </xf>
    <xf numFmtId="164" fontId="19" fillId="0" borderId="0" xfId="1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/>
    </xf>
    <xf numFmtId="0" fontId="5" fillId="0" borderId="0" xfId="0" applyFont="1"/>
    <xf numFmtId="164" fontId="5" fillId="0" borderId="0" xfId="1" applyNumberFormat="1" applyFont="1" applyFill="1" applyBorder="1"/>
    <xf numFmtId="164" fontId="5" fillId="0" borderId="0" xfId="0" applyNumberFormat="1" applyFont="1"/>
    <xf numFmtId="164" fontId="5" fillId="0" borderId="0" xfId="1" applyNumberFormat="1" applyFont="1" applyFill="1"/>
    <xf numFmtId="3" fontId="5" fillId="0" borderId="0" xfId="0" applyNumberFormat="1" applyFont="1"/>
    <xf numFmtId="0" fontId="19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164" fontId="5" fillId="0" borderId="3" xfId="1" applyNumberFormat="1" applyFont="1" applyBorder="1" applyAlignment="1">
      <alignment horizontal="center" vertical="center" wrapText="1" readingOrder="2"/>
    </xf>
    <xf numFmtId="164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 readingOrder="2"/>
    </xf>
    <xf numFmtId="164" fontId="5" fillId="0" borderId="1" xfId="1" applyNumberFormat="1" applyFont="1" applyBorder="1" applyAlignment="1">
      <alignment horizontal="center" vertical="center" readingOrder="2"/>
    </xf>
    <xf numFmtId="164" fontId="5" fillId="0" borderId="0" xfId="1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164" fontId="5" fillId="0" borderId="1" xfId="1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 wrapText="1" readingOrder="2"/>
    </xf>
    <xf numFmtId="164" fontId="56" fillId="0" borderId="9" xfId="0" applyNumberFormat="1" applyFont="1" applyBorder="1" applyAlignment="1">
      <alignment horizontal="center" vertical="center" wrapText="1" shrinkToFit="1"/>
    </xf>
    <xf numFmtId="164" fontId="56" fillId="0" borderId="0" xfId="0" applyNumberFormat="1" applyFont="1" applyAlignment="1">
      <alignment horizontal="center" vertical="center" wrapText="1" shrinkToFit="1"/>
    </xf>
    <xf numFmtId="0" fontId="32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4" fontId="14" fillId="0" borderId="0" xfId="1" applyNumberFormat="1" applyFont="1" applyBorder="1" applyAlignment="1">
      <alignment horizontal="center" vertical="center" readingOrder="2"/>
    </xf>
    <xf numFmtId="164" fontId="14" fillId="0" borderId="1" xfId="1" applyNumberFormat="1" applyFont="1" applyBorder="1" applyAlignment="1">
      <alignment horizontal="center" vertical="center" readingOrder="2"/>
    </xf>
    <xf numFmtId="164" fontId="14" fillId="0" borderId="3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 wrapText="1" readingOrder="2"/>
    </xf>
    <xf numFmtId="164" fontId="8" fillId="0" borderId="1" xfId="1" applyNumberFormat="1" applyFont="1" applyBorder="1" applyAlignment="1">
      <alignment horizontal="center" vertical="center" wrapText="1" readingOrder="2"/>
    </xf>
    <xf numFmtId="164" fontId="14" fillId="0" borderId="1" xfId="1" applyNumberFormat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4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4" fontId="19" fillId="0" borderId="0" xfId="1" applyNumberFormat="1" applyFont="1" applyFill="1" applyBorder="1" applyAlignment="1">
      <alignment horizontal="center" vertical="center" readingOrder="2"/>
    </xf>
    <xf numFmtId="164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0" xfId="1" applyNumberFormat="1" applyFont="1" applyBorder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22" fillId="0" borderId="3" xfId="1" applyNumberFormat="1" applyFont="1" applyBorder="1" applyAlignment="1">
      <alignment horizontal="center" vertical="center" wrapText="1" readingOrder="2"/>
    </xf>
    <xf numFmtId="164" fontId="22" fillId="0" borderId="0" xfId="1" applyNumberFormat="1" applyFont="1" applyBorder="1" applyAlignment="1">
      <alignment horizontal="center" vertical="center" wrapText="1" readingOrder="2"/>
    </xf>
    <xf numFmtId="165" fontId="22" fillId="0" borderId="3" xfId="1" applyNumberFormat="1" applyFont="1" applyBorder="1" applyAlignment="1">
      <alignment horizontal="center" vertical="center" wrapText="1" readingOrder="2"/>
    </xf>
    <xf numFmtId="165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 readingOrder="2"/>
    </xf>
    <xf numFmtId="0" fontId="59" fillId="0" borderId="1" xfId="0" applyFont="1" applyBorder="1" applyAlignment="1">
      <alignment horizontal="center" vertical="center" wrapText="1" readingOrder="2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3" xfId="0" applyFont="1" applyBorder="1" applyAlignment="1">
      <alignment vertical="center" wrapText="1"/>
    </xf>
    <xf numFmtId="0" fontId="58" fillId="0" borderId="0" xfId="0" applyFont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0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164" fontId="17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5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4" fontId="22" fillId="0" borderId="1" xfId="1" applyNumberFormat="1" applyFont="1" applyFill="1" applyBorder="1" applyAlignment="1">
      <alignment horizontal="center" vertical="center" wrapText="1" readingOrder="2"/>
    </xf>
    <xf numFmtId="164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5" fontId="21" fillId="0" borderId="1" xfId="1" applyNumberFormat="1" applyFont="1" applyFill="1" applyBorder="1" applyAlignment="1">
      <alignment horizontal="center" vertical="center" wrapText="1" readingOrder="2"/>
    </xf>
    <xf numFmtId="165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219075</xdr:colOff>
      <xdr:row>37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E105B9-CE76-C86B-0CD3-43BC02282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990325" y="0"/>
          <a:ext cx="5943600" cy="856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tabSelected="1" view="pageBreakPreview" zoomScaleNormal="100" zoomScaleSheetLayoutView="100" workbookViewId="0">
      <selection activeCell="A33" sqref="A33"/>
    </sheetView>
  </sheetViews>
  <sheetFormatPr defaultColWidth="9.140625" defaultRowHeight="17.25"/>
  <cols>
    <col min="1" max="9" width="9.140625" style="7"/>
    <col min="10" max="10" width="3.5703125" style="7" customWidth="1"/>
    <col min="11" max="11" width="3.42578125" style="7" customWidth="1"/>
    <col min="12" max="16384" width="9.140625" style="7"/>
  </cols>
  <sheetData>
    <row r="17" spans="1:13">
      <c r="A17" s="385" t="s">
        <v>63</v>
      </c>
      <c r="B17" s="385"/>
      <c r="C17" s="385"/>
      <c r="D17" s="385"/>
      <c r="E17" s="385"/>
      <c r="F17" s="385"/>
      <c r="G17" s="385"/>
      <c r="H17" s="385"/>
      <c r="I17" s="385"/>
      <c r="J17" s="385"/>
    </row>
    <row r="18" spans="1:13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M18" s="7" t="s">
        <v>50</v>
      </c>
    </row>
    <row r="19" spans="1:13">
      <c r="A19" s="385"/>
      <c r="B19" s="385"/>
      <c r="C19" s="385"/>
      <c r="D19" s="385"/>
      <c r="E19" s="385"/>
      <c r="F19" s="385"/>
      <c r="G19" s="385"/>
      <c r="H19" s="385"/>
      <c r="I19" s="385"/>
      <c r="J19" s="385"/>
    </row>
    <row r="20" spans="1:13" ht="40.5">
      <c r="A20" s="385" t="s">
        <v>75</v>
      </c>
      <c r="B20" s="385"/>
      <c r="C20" s="385"/>
      <c r="D20" s="385"/>
      <c r="E20" s="385"/>
      <c r="F20" s="385"/>
      <c r="G20" s="385"/>
      <c r="H20" s="385"/>
      <c r="I20" s="385"/>
    </row>
    <row r="21" spans="1:13">
      <c r="A21" s="385" t="s">
        <v>185</v>
      </c>
      <c r="B21" s="385"/>
      <c r="C21" s="385"/>
      <c r="D21" s="385"/>
      <c r="E21" s="385"/>
      <c r="F21" s="385"/>
      <c r="G21" s="385"/>
      <c r="H21" s="385"/>
      <c r="I21" s="385"/>
      <c r="J21" s="385"/>
    </row>
    <row r="22" spans="1:13">
      <c r="A22" s="385"/>
      <c r="B22" s="385"/>
      <c r="C22" s="385"/>
      <c r="D22" s="385"/>
      <c r="E22" s="385"/>
      <c r="F22" s="385"/>
      <c r="G22" s="385"/>
      <c r="H22" s="385"/>
      <c r="I22" s="385"/>
      <c r="J22" s="385"/>
    </row>
    <row r="23" spans="1:13">
      <c r="A23" s="385"/>
      <c r="B23" s="385"/>
      <c r="C23" s="385"/>
      <c r="D23" s="385"/>
      <c r="E23" s="385"/>
      <c r="F23" s="385"/>
      <c r="G23" s="385"/>
      <c r="H23" s="385"/>
      <c r="I23" s="385"/>
      <c r="J23" s="385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85"/>
      <c r="L28" s="385"/>
    </row>
    <row r="29" spans="1:13" ht="15" customHeight="1">
      <c r="K29" s="385"/>
      <c r="L29" s="385"/>
    </row>
    <row r="30" spans="1:13" ht="15" customHeight="1">
      <c r="K30" s="385"/>
      <c r="L30" s="385"/>
    </row>
    <row r="31" spans="1:13" ht="15" customHeight="1">
      <c r="A31" s="385"/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T21"/>
  <sheetViews>
    <sheetView rightToLeft="1" view="pageBreakPreview" zoomScale="90" zoomScaleNormal="100" zoomScaleSheetLayoutView="90" workbookViewId="0">
      <selection activeCell="M24" sqref="M24"/>
    </sheetView>
  </sheetViews>
  <sheetFormatPr defaultColWidth="9.140625" defaultRowHeight="21.75"/>
  <cols>
    <col min="1" max="1" width="45.42578125" style="84" customWidth="1"/>
    <col min="2" max="2" width="0.42578125" style="84" customWidth="1"/>
    <col min="3" max="3" width="21.140625" style="84" bestFit="1" customWidth="1"/>
    <col min="4" max="4" width="0.7109375" style="84" customWidth="1"/>
    <col min="5" max="5" width="20.85546875" style="84" customWidth="1"/>
    <col min="6" max="6" width="0.5703125" style="84" customWidth="1"/>
    <col min="7" max="7" width="21" style="84" customWidth="1"/>
    <col min="8" max="8" width="0.5703125" style="84" customWidth="1"/>
    <col min="9" max="9" width="22.85546875" style="84" bestFit="1" customWidth="1"/>
    <col min="10" max="10" width="0.42578125" style="84" customWidth="1"/>
    <col min="11" max="11" width="22.85546875" style="84" bestFit="1" customWidth="1"/>
    <col min="12" max="12" width="0.5703125" style="84" customWidth="1"/>
    <col min="13" max="13" width="22" style="84" customWidth="1"/>
    <col min="14" max="14" width="0.85546875" style="84" customWidth="1"/>
    <col min="15" max="15" width="21.140625" style="84" bestFit="1" customWidth="1"/>
    <col min="16" max="16" width="0.5703125" style="84" customWidth="1"/>
    <col min="17" max="17" width="22.85546875" style="84" bestFit="1" customWidth="1"/>
    <col min="18" max="18" width="16" style="84" bestFit="1" customWidth="1"/>
    <col min="19" max="19" width="15.42578125" style="84" bestFit="1" customWidth="1"/>
    <col min="20" max="16384" width="9.140625" style="84"/>
  </cols>
  <sheetData>
    <row r="1" spans="1:20" ht="21" customHeight="1">
      <c r="A1" s="482" t="s">
        <v>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20" ht="21.75" customHeight="1">
      <c r="A2" s="482" t="s">
        <v>48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20" ht="23.25" customHeight="1">
      <c r="A3" s="482" t="str">
        <f>روکش!A21</f>
        <v>منتهی به 1405/01/31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</row>
    <row r="4" spans="1:20">
      <c r="A4" s="442" t="s">
        <v>130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</row>
    <row r="5" spans="1:20" ht="4.5" customHeight="1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20" ht="22.5" customHeight="1" thickBot="1">
      <c r="A6" s="122"/>
      <c r="B6" s="123"/>
      <c r="C6" s="481" t="s">
        <v>188</v>
      </c>
      <c r="D6" s="481"/>
      <c r="E6" s="481"/>
      <c r="F6" s="481"/>
      <c r="G6" s="481"/>
      <c r="H6" s="481"/>
      <c r="I6" s="481"/>
      <c r="J6" s="97"/>
      <c r="K6" s="481" t="s">
        <v>189</v>
      </c>
      <c r="L6" s="481"/>
      <c r="M6" s="481"/>
      <c r="N6" s="481"/>
      <c r="O6" s="481"/>
      <c r="P6" s="481"/>
      <c r="Q6" s="481"/>
    </row>
    <row r="7" spans="1:20" ht="15.75" customHeight="1">
      <c r="A7" s="477"/>
      <c r="B7" s="478"/>
      <c r="C7" s="479" t="s">
        <v>12</v>
      </c>
      <c r="D7" s="479"/>
      <c r="E7" s="479" t="s">
        <v>10</v>
      </c>
      <c r="F7" s="477"/>
      <c r="G7" s="479" t="s">
        <v>11</v>
      </c>
      <c r="H7" s="477"/>
      <c r="I7" s="479" t="s">
        <v>2</v>
      </c>
      <c r="J7" s="124"/>
      <c r="K7" s="479" t="s">
        <v>12</v>
      </c>
      <c r="L7" s="479"/>
      <c r="M7" s="479" t="s">
        <v>10</v>
      </c>
      <c r="N7" s="477"/>
      <c r="O7" s="479" t="s">
        <v>11</v>
      </c>
      <c r="P7" s="477"/>
      <c r="Q7" s="479" t="s">
        <v>2</v>
      </c>
    </row>
    <row r="8" spans="1:20" ht="12" customHeight="1">
      <c r="A8" s="478"/>
      <c r="B8" s="478"/>
      <c r="C8" s="480"/>
      <c r="D8" s="480"/>
      <c r="E8" s="480"/>
      <c r="F8" s="478"/>
      <c r="G8" s="480"/>
      <c r="H8" s="478"/>
      <c r="I8" s="480"/>
      <c r="J8" s="124"/>
      <c r="K8" s="480"/>
      <c r="L8" s="480"/>
      <c r="M8" s="480"/>
      <c r="N8" s="478"/>
      <c r="O8" s="480"/>
      <c r="P8" s="478"/>
      <c r="Q8" s="480"/>
    </row>
    <row r="9" spans="1:20" ht="20.25" customHeight="1" thickBot="1">
      <c r="A9" s="478"/>
      <c r="B9" s="478"/>
      <c r="C9" s="125" t="s">
        <v>51</v>
      </c>
      <c r="D9" s="480"/>
      <c r="E9" s="125" t="s">
        <v>52</v>
      </c>
      <c r="F9" s="478"/>
      <c r="G9" s="125" t="s">
        <v>53</v>
      </c>
      <c r="H9" s="478"/>
      <c r="I9" s="481"/>
      <c r="J9" s="126"/>
      <c r="K9" s="125" t="s">
        <v>51</v>
      </c>
      <c r="L9" s="480"/>
      <c r="M9" s="125" t="s">
        <v>52</v>
      </c>
      <c r="N9" s="478"/>
      <c r="O9" s="125" t="s">
        <v>53</v>
      </c>
      <c r="P9" s="478"/>
      <c r="Q9" s="481"/>
    </row>
    <row r="10" spans="1:20" ht="27.75" customHeight="1">
      <c r="A10" s="97" t="s">
        <v>134</v>
      </c>
      <c r="B10" s="97"/>
      <c r="C10" s="62">
        <f>_xlfn.XLOOKUP(A10,'سود اوراق بهادار'!$A$7:$A$12,'سود اوراق بهادار'!$K$7:$K$12,0)</f>
        <v>1910267616</v>
      </c>
      <c r="D10" s="62"/>
      <c r="E10" s="62">
        <f>_xlfn.XLOOKUP(A10,'درآمد ناشی از تغییر قیمت اوراق '!$A$13:$A$18,'درآمد ناشی از تغییر قیمت اوراق '!$I$13:$I$18,0)</f>
        <v>-1938865167</v>
      </c>
      <c r="F10" s="97"/>
      <c r="G10" s="62">
        <v>0</v>
      </c>
      <c r="H10" s="97"/>
      <c r="I10" s="62">
        <f t="shared" ref="I10:I15" si="0">G10+E10+C10</f>
        <v>-28597551</v>
      </c>
      <c r="J10" s="126"/>
      <c r="K10" s="62">
        <f>_xlfn.XLOOKUP(A10,'سود اوراق بهادار'!$A$7:$A$12,'سود اوراق بهادار'!$Q$7:$Q$12,0)</f>
        <v>8222871002</v>
      </c>
      <c r="L10" s="62"/>
      <c r="M10" s="62">
        <f>_xlfn.XLOOKUP(A10,'درآمد ناشی از تغییر قیمت اوراق '!$A$13:$A$18,'درآمد ناشی از تغییر قیمت اوراق '!$Q$13:$Q$18,0)</f>
        <v>-1938865167</v>
      </c>
      <c r="N10" s="62"/>
      <c r="O10" s="62">
        <v>0</v>
      </c>
      <c r="P10" s="97"/>
      <c r="Q10" s="62">
        <f t="shared" ref="Q10:Q15" si="1">K10+M10+O10</f>
        <v>6284005835</v>
      </c>
      <c r="R10" s="120"/>
      <c r="S10" s="120"/>
      <c r="T10" s="120"/>
    </row>
    <row r="11" spans="1:20" ht="27.75" customHeight="1">
      <c r="A11" s="97" t="s">
        <v>87</v>
      </c>
      <c r="B11" s="97"/>
      <c r="C11" s="62">
        <f>_xlfn.XLOOKUP(A11,'سود اوراق بهادار'!$A$7:$A$12,'سود اوراق بهادار'!$K$7:$K$12,0)</f>
        <v>9394034915</v>
      </c>
      <c r="D11" s="62"/>
      <c r="E11" s="62">
        <f>_xlfn.XLOOKUP(A11,'درآمد ناشی از تغییر قیمت اوراق '!$A$13:$A$18,'درآمد ناشی از تغییر قیمت اوراق '!$I$13:$I$18,0)</f>
        <v>0</v>
      </c>
      <c r="F11" s="97"/>
      <c r="G11" s="62">
        <v>0</v>
      </c>
      <c r="H11" s="97"/>
      <c r="I11" s="62">
        <f t="shared" si="0"/>
        <v>9394034915</v>
      </c>
      <c r="J11" s="126"/>
      <c r="K11" s="62">
        <f>_xlfn.XLOOKUP(A11,'سود اوراق بهادار'!$A$7:$A$12,'سود اوراق بهادار'!$Q$7:$Q$12,0)</f>
        <v>35960937572</v>
      </c>
      <c r="L11" s="62"/>
      <c r="M11" s="62">
        <f>_xlfn.XLOOKUP(A11,'درآمد ناشی از تغییر قیمت اوراق '!$A$13:$A$18,'درآمد ناشی از تغییر قیمت اوراق '!$Q$13:$Q$18,0)</f>
        <v>0</v>
      </c>
      <c r="N11" s="62"/>
      <c r="O11" s="62">
        <v>0</v>
      </c>
      <c r="P11" s="97"/>
      <c r="Q11" s="62">
        <f t="shared" si="1"/>
        <v>35960937572</v>
      </c>
      <c r="R11" s="120"/>
      <c r="S11" s="120"/>
      <c r="T11" s="120"/>
    </row>
    <row r="12" spans="1:20" ht="27.75" customHeight="1">
      <c r="A12" s="97" t="s">
        <v>159</v>
      </c>
      <c r="B12" s="97"/>
      <c r="C12" s="62">
        <f>_xlfn.XLOOKUP(A12,'سود اوراق بهادار'!$A$7:$A$12,'سود اوراق بهادار'!$K$7:$K$12,0)</f>
        <v>2055789080</v>
      </c>
      <c r="D12" s="62"/>
      <c r="E12" s="62">
        <f>_xlfn.XLOOKUP(A12,'درآمد ناشی از تغییر قیمت اوراق '!$A$13:$A$18,'درآمد ناشی از تغییر قیمت اوراق '!$I$13:$I$18,0)</f>
        <v>-969372618</v>
      </c>
      <c r="F12" s="97"/>
      <c r="G12" s="62">
        <v>0</v>
      </c>
      <c r="H12" s="97"/>
      <c r="I12" s="62">
        <f t="shared" si="0"/>
        <v>1086416462</v>
      </c>
      <c r="J12" s="126"/>
      <c r="K12" s="62">
        <f>_xlfn.XLOOKUP(A12,'سود اوراق بهادار'!$A$7:$A$12,'سود اوراق بهادار'!$Q$7:$Q$12,0)</f>
        <v>7816186341</v>
      </c>
      <c r="L12" s="62"/>
      <c r="M12" s="62">
        <f>_xlfn.XLOOKUP(A12,'درآمد ناشی از تغییر قیمت اوراق '!$A$13:$A$18,'درآمد ناشی از تغییر قیمت اوراق '!$Q$13:$Q$18,0)</f>
        <v>-2903720244</v>
      </c>
      <c r="N12" s="62"/>
      <c r="O12" s="62">
        <v>0</v>
      </c>
      <c r="P12" s="97"/>
      <c r="Q12" s="62">
        <f t="shared" si="1"/>
        <v>4912466097</v>
      </c>
      <c r="R12" s="120"/>
      <c r="S12" s="120"/>
      <c r="T12" s="120"/>
    </row>
    <row r="13" spans="1:20" ht="20.25" customHeight="1">
      <c r="A13" s="97" t="s">
        <v>135</v>
      </c>
      <c r="B13" s="97"/>
      <c r="C13" s="62">
        <f>_xlfn.XLOOKUP(A13,'سود اوراق بهادار'!$A$7:$A$12,'سود اوراق بهادار'!$K$7:$K$12,0)</f>
        <v>6659715314</v>
      </c>
      <c r="D13" s="62"/>
      <c r="E13" s="62">
        <f>_xlfn.XLOOKUP(A13,'درآمد ناشی از تغییر قیمت اوراق '!$A$13:$A$18,'درآمد ناشی از تغییر قیمت اوراق '!$I$13:$I$18,0)</f>
        <v>13042184455</v>
      </c>
      <c r="F13" s="97"/>
      <c r="G13" s="62">
        <v>0</v>
      </c>
      <c r="H13" s="97"/>
      <c r="I13" s="62">
        <f t="shared" si="0"/>
        <v>19701899769</v>
      </c>
      <c r="J13" s="126"/>
      <c r="K13" s="62">
        <f>_xlfn.XLOOKUP(A13,'سود اوراق بهادار'!$A$7:$A$12,'سود اوراق بهادار'!$Q$7:$Q$12,0)</f>
        <v>25092986546</v>
      </c>
      <c r="L13" s="62"/>
      <c r="M13" s="62">
        <f>_xlfn.XLOOKUP(A13,'درآمد ناشی از تغییر قیمت اوراق '!$A$13:$A$18,'درآمد ناشی از تغییر قیمت اوراق '!$Q$13:$Q$18,0)</f>
        <v>25791728118</v>
      </c>
      <c r="N13" s="62"/>
      <c r="O13" s="62">
        <v>0</v>
      </c>
      <c r="P13" s="97"/>
      <c r="Q13" s="62">
        <f t="shared" si="1"/>
        <v>50884714664</v>
      </c>
      <c r="R13" s="120"/>
      <c r="S13" s="120"/>
      <c r="T13" s="120"/>
    </row>
    <row r="14" spans="1:20" ht="21.75" customHeight="1">
      <c r="A14" s="97" t="s">
        <v>123</v>
      </c>
      <c r="B14" s="97"/>
      <c r="C14" s="62">
        <f>_xlfn.XLOOKUP(A14,'سود اوراق بهادار'!$A$7:$A$12,'سود اوراق بهادار'!$K$7:$K$12,0)</f>
        <v>6583630934</v>
      </c>
      <c r="D14" s="62"/>
      <c r="E14" s="62">
        <f>_xlfn.XLOOKUP(A14,'درآمد ناشی از تغییر قیمت اوراق '!$A$13:$A$18,'درآمد ناشی از تغییر قیمت اوراق '!$I$13:$I$18,0)</f>
        <v>0</v>
      </c>
      <c r="F14" s="383"/>
      <c r="G14" s="62">
        <v>0</v>
      </c>
      <c r="H14" s="383"/>
      <c r="I14" s="62">
        <f t="shared" si="0"/>
        <v>6583630934</v>
      </c>
      <c r="J14" s="384"/>
      <c r="K14" s="62">
        <f>_xlfn.XLOOKUP(A14,'سود اوراق بهادار'!$A$7:$A$12,'سود اوراق بهادار'!$Q$7:$Q$12,0)</f>
        <v>24833248532</v>
      </c>
      <c r="L14" s="62"/>
      <c r="M14" s="62">
        <f>_xlfn.XLOOKUP(A14,'درآمد ناشی از تغییر قیمت اوراق '!$A$13:$A$18,'درآمد ناشی از تغییر قیمت اوراق '!$Q$13:$Q$18,0)</f>
        <v>0</v>
      </c>
      <c r="N14" s="62"/>
      <c r="O14" s="62">
        <v>0</v>
      </c>
      <c r="P14" s="97"/>
      <c r="Q14" s="62">
        <f t="shared" si="1"/>
        <v>24833248532</v>
      </c>
      <c r="R14" s="120"/>
      <c r="S14" s="120"/>
      <c r="T14" s="120"/>
    </row>
    <row r="15" spans="1:20" ht="21.75" customHeight="1">
      <c r="A15" s="97" t="s">
        <v>165</v>
      </c>
      <c r="B15" s="97"/>
      <c r="C15" s="62">
        <f>_xlfn.XLOOKUP(A15,'سود اوراق بهادار'!$A$7:$A$12,'سود اوراق بهادار'!$K$7:$K$12,0)</f>
        <v>9952999985</v>
      </c>
      <c r="D15" s="62"/>
      <c r="E15" s="62">
        <f>_xlfn.XLOOKUP(A15,'درآمد ناشی از تغییر قیمت اوراق '!$A$13:$A$18,'درآمد ناشی از تغییر قیمت اوراق '!$I$13:$I$18,0)</f>
        <v>0</v>
      </c>
      <c r="F15" s="383"/>
      <c r="G15" s="62">
        <v>0</v>
      </c>
      <c r="H15" s="383"/>
      <c r="I15" s="62">
        <f t="shared" si="0"/>
        <v>9952999985</v>
      </c>
      <c r="J15" s="384"/>
      <c r="K15" s="62">
        <f>_xlfn.XLOOKUP(A15,'سود اوراق بهادار'!$A$7:$A$12,'سود اوراق بهادار'!$Q$7:$Q$12,0)</f>
        <v>40954264871</v>
      </c>
      <c r="L15" s="62"/>
      <c r="M15" s="62">
        <f>_xlfn.XLOOKUP(A15,'درآمد ناشی از تغییر قیمت اوراق '!$A$13:$A$18,'درآمد ناشی از تغییر قیمت اوراق '!$Q$13:$Q$18,0)</f>
        <v>4274774328</v>
      </c>
      <c r="N15" s="62"/>
      <c r="O15" s="62">
        <v>0</v>
      </c>
      <c r="P15" s="97"/>
      <c r="Q15" s="62">
        <f t="shared" si="1"/>
        <v>45229039199</v>
      </c>
      <c r="R15" s="120"/>
      <c r="S15" s="120"/>
      <c r="T15" s="120"/>
    </row>
    <row r="16" spans="1:20" ht="29.25" customHeight="1" thickBot="1">
      <c r="A16" s="224"/>
      <c r="B16" s="225"/>
      <c r="C16" s="336">
        <f>SUM(C10:C15)</f>
        <v>36556437844</v>
      </c>
      <c r="D16" s="337"/>
      <c r="E16" s="336">
        <f>SUM(E10:E15)</f>
        <v>10133946670</v>
      </c>
      <c r="F16" s="337"/>
      <c r="G16" s="336">
        <f>SUM(G10:G15)</f>
        <v>0</v>
      </c>
      <c r="H16" s="337"/>
      <c r="I16" s="336">
        <f>SUM(I10:I15)</f>
        <v>46690384514</v>
      </c>
      <c r="J16" s="337"/>
      <c r="K16" s="336">
        <f>SUM(K10:K15)</f>
        <v>142880494864</v>
      </c>
      <c r="L16" s="337"/>
      <c r="M16" s="336">
        <f>SUM(M10:M15)</f>
        <v>25223917035</v>
      </c>
      <c r="N16" s="337"/>
      <c r="O16" s="336">
        <f>SUM(O10:O15)</f>
        <v>0</v>
      </c>
      <c r="P16" s="337"/>
      <c r="Q16" s="336">
        <f>SUM(Q10:Q15)</f>
        <v>168104411899</v>
      </c>
    </row>
    <row r="17" spans="1:17" ht="22.5" thickTop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215"/>
    </row>
    <row r="18" spans="1:17" hidden="1">
      <c r="C18" s="84">
        <f>IFERROR(VLOOKUP(#REF!,'سود اوراق بهادار'!$A$8:$Q$12,11,0),0)</f>
        <v>0</v>
      </c>
    </row>
    <row r="19" spans="1:17"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>
      <c r="C20" s="120"/>
      <c r="E20" s="120"/>
      <c r="G20" s="120"/>
      <c r="K20" s="120"/>
      <c r="M20" s="120"/>
      <c r="O20" s="120"/>
    </row>
    <row r="21" spans="1:17">
      <c r="C21" s="120"/>
      <c r="E21" s="120"/>
      <c r="G21" s="120"/>
    </row>
  </sheetData>
  <autoFilter ref="A9:Q9" xr:uid="{00000000-0009-0000-0000-000009000000}"/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N21"/>
  <sheetViews>
    <sheetView rightToLeft="1" view="pageBreakPreview" zoomScaleNormal="100" zoomScaleSheetLayoutView="100" workbookViewId="0">
      <selection activeCell="I18" sqref="I18"/>
    </sheetView>
  </sheetViews>
  <sheetFormatPr defaultColWidth="9.140625" defaultRowHeight="21.75"/>
  <cols>
    <col min="1" max="1" width="19.85546875" style="84" customWidth="1"/>
    <col min="2" max="2" width="0.7109375" style="84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4" customWidth="1"/>
    <col min="9" max="9" width="22" style="84" customWidth="1"/>
    <col min="10" max="10" width="0.7109375" style="84" customWidth="1"/>
    <col min="11" max="11" width="32.28515625" style="84" hidden="1" customWidth="1"/>
    <col min="12" max="12" width="23.7109375" style="63" hidden="1" customWidth="1"/>
    <col min="13" max="13" width="23.85546875" style="133" customWidth="1"/>
    <col min="14" max="14" width="24" style="84" customWidth="1"/>
    <col min="15" max="16384" width="9.140625" style="84"/>
  </cols>
  <sheetData>
    <row r="1" spans="1:14" s="96" customFormat="1" ht="18.75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L1" s="68"/>
      <c r="M1" s="132"/>
    </row>
    <row r="2" spans="1:14" s="96" customFormat="1" ht="18.75">
      <c r="A2" s="452" t="s">
        <v>48</v>
      </c>
      <c r="B2" s="452"/>
      <c r="C2" s="452"/>
      <c r="D2" s="452"/>
      <c r="E2" s="452"/>
      <c r="F2" s="452"/>
      <c r="G2" s="452"/>
      <c r="H2" s="452"/>
      <c r="I2" s="452"/>
      <c r="J2" s="452"/>
      <c r="L2" s="68"/>
      <c r="M2" s="132"/>
    </row>
    <row r="3" spans="1:14" s="96" customFormat="1" ht="18.75">
      <c r="A3" s="452" t="str">
        <f>روکش!A21</f>
        <v>منتهی به 1405/01/31</v>
      </c>
      <c r="B3" s="452"/>
      <c r="C3" s="452"/>
      <c r="D3" s="452"/>
      <c r="E3" s="452"/>
      <c r="F3" s="452"/>
      <c r="G3" s="452"/>
      <c r="H3" s="452"/>
      <c r="I3" s="452"/>
      <c r="J3" s="452"/>
      <c r="L3" s="68"/>
      <c r="M3" s="132"/>
    </row>
    <row r="4" spans="1:14">
      <c r="A4" s="442" t="s">
        <v>131</v>
      </c>
      <c r="B4" s="442"/>
      <c r="C4" s="442"/>
      <c r="D4" s="442"/>
      <c r="E4" s="442"/>
      <c r="F4" s="442"/>
      <c r="G4" s="442"/>
      <c r="H4" s="442"/>
      <c r="I4" s="442"/>
      <c r="J4" s="442"/>
    </row>
    <row r="5" spans="1:14" ht="6.75" customHeight="1">
      <c r="A5" s="96"/>
      <c r="B5" s="96"/>
      <c r="C5" s="197"/>
      <c r="D5" s="197"/>
      <c r="E5" s="197"/>
      <c r="F5" s="197"/>
      <c r="G5" s="197"/>
      <c r="H5" s="96"/>
      <c r="I5" s="96"/>
      <c r="J5" s="96"/>
    </row>
    <row r="6" spans="1:14" ht="27.75" customHeight="1" thickBot="1">
      <c r="A6" s="480"/>
      <c r="B6" s="480"/>
      <c r="C6" s="483" t="s">
        <v>188</v>
      </c>
      <c r="D6" s="483"/>
      <c r="E6" s="483"/>
      <c r="F6" s="483"/>
      <c r="G6" s="481" t="s">
        <v>189</v>
      </c>
      <c r="H6" s="481"/>
      <c r="I6" s="481"/>
      <c r="J6" s="481"/>
    </row>
    <row r="7" spans="1:14" ht="37.5">
      <c r="A7" s="298" t="s">
        <v>13</v>
      </c>
      <c r="B7" s="97"/>
      <c r="C7" s="72" t="s">
        <v>14</v>
      </c>
      <c r="D7" s="73"/>
      <c r="E7" s="72" t="s">
        <v>15</v>
      </c>
      <c r="F7" s="74"/>
      <c r="G7" s="72" t="s">
        <v>14</v>
      </c>
      <c r="H7" s="97"/>
      <c r="I7" s="233" t="s">
        <v>15</v>
      </c>
      <c r="J7" s="97"/>
    </row>
    <row r="8" spans="1:14">
      <c r="A8" s="294" t="s">
        <v>158</v>
      </c>
      <c r="B8" s="97"/>
      <c r="C8" s="196">
        <f>_xlfn.XLOOKUP(A8,'سود سپرده بانکی'!$A$7:$A$16,'سود سپرده بانکی'!$G$7:$G$16,0)</f>
        <v>299522</v>
      </c>
      <c r="D8" s="73"/>
      <c r="E8" s="297">
        <f t="shared" ref="E8:E17" si="0">C8/$C$18</f>
        <v>9.1406260924768325E-6</v>
      </c>
      <c r="F8" s="77"/>
      <c r="G8" s="234">
        <f>_xlfn.XLOOKUP(A8,'سود سپرده بانکی'!$A$7:$A$16,'سود سپرده بانکی'!$M$7:$M$16,0)</f>
        <v>1221513</v>
      </c>
      <c r="H8" s="97"/>
      <c r="I8" s="297">
        <f t="shared" ref="I8:I17" si="1">G8/$G$18</f>
        <v>1.0122592826978988E-5</v>
      </c>
      <c r="J8" s="97"/>
      <c r="K8" s="84" t="s">
        <v>142</v>
      </c>
      <c r="L8" s="63">
        <v>2463402</v>
      </c>
      <c r="N8" s="120"/>
    </row>
    <row r="9" spans="1:14">
      <c r="A9" s="294" t="s">
        <v>149</v>
      </c>
      <c r="B9" s="97"/>
      <c r="C9" s="196">
        <f>_xlfn.XLOOKUP(A9,'سود سپرده بانکی'!$A$7:$A$16,'سود سپرده بانکی'!$G$7:$G$16,0)</f>
        <v>22948</v>
      </c>
      <c r="D9" s="73"/>
      <c r="E9" s="297">
        <f t="shared" si="0"/>
        <v>7.0031279027970691E-7</v>
      </c>
      <c r="F9" s="77"/>
      <c r="G9" s="234">
        <f>_xlfn.XLOOKUP(A9,'سود سپرده بانکی'!$A$7:$A$16,'سود سپرده بانکی'!$M$7:$M$16,0)</f>
        <v>95288</v>
      </c>
      <c r="H9" s="97"/>
      <c r="I9" s="297">
        <f t="shared" si="1"/>
        <v>7.8964499378817398E-7</v>
      </c>
      <c r="J9" s="97"/>
      <c r="K9" s="84" t="s">
        <v>143</v>
      </c>
      <c r="L9" s="63">
        <v>11659</v>
      </c>
      <c r="N9" s="120"/>
    </row>
    <row r="10" spans="1:14">
      <c r="A10" s="294" t="s">
        <v>150</v>
      </c>
      <c r="B10" s="97"/>
      <c r="C10" s="196">
        <f>_xlfn.XLOOKUP(A10,'سود سپرده بانکی'!$A$7:$A$16,'سود سپرده بانکی'!$G$7:$G$16,0)</f>
        <v>1445529899</v>
      </c>
      <c r="D10" s="73"/>
      <c r="E10" s="297">
        <f t="shared" si="0"/>
        <v>4.4113782334034901E-2</v>
      </c>
      <c r="F10" s="77"/>
      <c r="G10" s="234">
        <f>_xlfn.XLOOKUP(A10,'سود سپرده بانکی'!$A$7:$A$16,'سود سپرده بانکی'!$M$7:$M$16,0)</f>
        <v>17084436956</v>
      </c>
      <c r="H10" s="97"/>
      <c r="I10" s="297">
        <f t="shared" si="1"/>
        <v>0.14157753456883415</v>
      </c>
      <c r="J10" s="97"/>
      <c r="K10" s="84" t="s">
        <v>144</v>
      </c>
      <c r="L10" s="63">
        <v>3126</v>
      </c>
      <c r="N10" s="120"/>
    </row>
    <row r="11" spans="1:14">
      <c r="A11" s="294" t="s">
        <v>151</v>
      </c>
      <c r="B11" s="7"/>
      <c r="C11" s="196">
        <f>_xlfn.XLOOKUP(A11,'سود سپرده بانکی'!$A$7:$A$16,'سود سپرده بانکی'!$G$7:$G$16,0)</f>
        <v>3498510</v>
      </c>
      <c r="D11" s="7"/>
      <c r="E11" s="297">
        <f t="shared" si="0"/>
        <v>1.0676535209697827E-4</v>
      </c>
      <c r="F11" s="7"/>
      <c r="G11" s="234">
        <f>_xlfn.XLOOKUP(A11,'سود سپرده بانکی'!$A$7:$A$16,'سود سپرده بانکی'!$M$7:$M$16,0)</f>
        <v>8159552</v>
      </c>
      <c r="H11" s="7"/>
      <c r="I11" s="297">
        <f t="shared" si="1"/>
        <v>6.7617636935965518E-5</v>
      </c>
      <c r="J11" s="97"/>
      <c r="K11" s="84" t="s">
        <v>145</v>
      </c>
      <c r="L11" s="63">
        <v>11971</v>
      </c>
      <c r="N11" s="120"/>
    </row>
    <row r="12" spans="1:14">
      <c r="A12" s="294" t="s">
        <v>152</v>
      </c>
      <c r="B12" s="7"/>
      <c r="C12" s="196">
        <f>_xlfn.XLOOKUP(A12,'سود سپرده بانکی'!$A$7:$A$16,'سود سپرده بانکی'!$G$7:$G$16,0)</f>
        <v>4050004545</v>
      </c>
      <c r="D12" s="7"/>
      <c r="E12" s="297">
        <f t="shared" si="0"/>
        <v>0.12359551959013616</v>
      </c>
      <c r="F12" s="7"/>
      <c r="G12" s="234">
        <f>_xlfn.XLOOKUP(A12,'سود سپرده بانکی'!$A$7:$A$16,'سود سپرده بانکی'!$M$7:$M$16,0)</f>
        <v>18354049600</v>
      </c>
      <c r="H12" s="7"/>
      <c r="I12" s="297">
        <f t="shared" si="1"/>
        <v>0.15209872578267816</v>
      </c>
      <c r="J12" s="97"/>
      <c r="N12" s="120"/>
    </row>
    <row r="13" spans="1:14">
      <c r="A13" s="294" t="s">
        <v>153</v>
      </c>
      <c r="B13" s="7"/>
      <c r="C13" s="196">
        <f>_xlfn.XLOOKUP(A13,'سود سپرده بانکی'!$A$7:$A$16,'سود سپرده بانکی'!$G$7:$G$16,0)</f>
        <v>0</v>
      </c>
      <c r="D13" s="7"/>
      <c r="E13" s="297">
        <f t="shared" si="0"/>
        <v>0</v>
      </c>
      <c r="F13" s="7"/>
      <c r="G13" s="234">
        <f>_xlfn.XLOOKUP(A13,'سود سپرده بانکی'!$A$7:$A$16,'سود سپرده بانکی'!$M$7:$M$16,0)</f>
        <v>1195</v>
      </c>
      <c r="H13" s="7"/>
      <c r="I13" s="297">
        <f t="shared" si="1"/>
        <v>9.9028814496774828E-9</v>
      </c>
      <c r="J13" s="97"/>
      <c r="N13" s="120"/>
    </row>
    <row r="14" spans="1:14">
      <c r="A14" s="294" t="s">
        <v>154</v>
      </c>
      <c r="B14" s="7"/>
      <c r="C14" s="196">
        <f>_xlfn.XLOOKUP(A14,'سود سپرده بانکی'!$A$7:$A$16,'سود سپرده بانکی'!$G$7:$G$16,0)</f>
        <v>17714920803</v>
      </c>
      <c r="D14" s="7"/>
      <c r="E14" s="297">
        <f t="shared" si="0"/>
        <v>0.54061293433558288</v>
      </c>
      <c r="F14" s="7"/>
      <c r="G14" s="234">
        <f>_xlfn.XLOOKUP(A14,'سود سپرده بانکی'!$A$7:$A$16,'سود سپرده بانکی'!$M$7:$M$16,0)</f>
        <v>45671703402</v>
      </c>
      <c r="H14" s="7"/>
      <c r="I14" s="297">
        <f t="shared" si="1"/>
        <v>0.37847821288270939</v>
      </c>
      <c r="J14" s="97"/>
      <c r="N14" s="120"/>
    </row>
    <row r="15" spans="1:14">
      <c r="A15" s="294" t="s">
        <v>155</v>
      </c>
      <c r="B15" s="7"/>
      <c r="C15" s="196">
        <f>_xlfn.XLOOKUP(A15,'سود سپرده بانکی'!$A$7:$A$16,'سود سپرده بانکی'!$G$7:$G$16,0)</f>
        <v>9553771785</v>
      </c>
      <c r="D15" s="7"/>
      <c r="E15" s="297">
        <f t="shared" si="0"/>
        <v>0.29155606486181307</v>
      </c>
      <c r="F15" s="7"/>
      <c r="G15" s="234">
        <f>_xlfn.XLOOKUP(A15,'سود سپرده بانکی'!$A$7:$A$16,'سود سپرده بانکی'!$M$7:$M$16,0)</f>
        <v>39551687893</v>
      </c>
      <c r="H15" s="7"/>
      <c r="I15" s="297">
        <f t="shared" si="1"/>
        <v>0.32776207225022858</v>
      </c>
      <c r="J15" s="97"/>
      <c r="N15" s="120"/>
    </row>
    <row r="16" spans="1:14">
      <c r="A16" s="294" t="s">
        <v>162</v>
      </c>
      <c r="B16" s="7"/>
      <c r="C16" s="196">
        <f>_xlfn.XLOOKUP(A16,'سود سپرده بانکی'!$A$7:$A$16,'سود سپرده بانکی'!$G$7:$G$16,0)</f>
        <v>8520</v>
      </c>
      <c r="D16" s="7"/>
      <c r="E16" s="297">
        <f t="shared" si="0"/>
        <v>2.6000806053612962E-7</v>
      </c>
      <c r="F16" s="7"/>
      <c r="G16" s="234">
        <f>_xlfn.XLOOKUP(A16,'سود سپرده بانکی'!$A$7:$A$16,'سود سپرده بانکی'!$M$7:$M$16,0)</f>
        <v>34341</v>
      </c>
      <c r="H16" s="7"/>
      <c r="I16" s="297">
        <f t="shared" si="1"/>
        <v>2.8458146599445558E-7</v>
      </c>
      <c r="J16" s="97"/>
      <c r="N16" s="120"/>
    </row>
    <row r="17" spans="1:14" ht="22.5" thickBot="1">
      <c r="A17" s="294" t="s">
        <v>157</v>
      </c>
      <c r="B17" s="7"/>
      <c r="C17" s="196">
        <f>_xlfn.XLOOKUP(A17,'سود سپرده بانکی'!$A$7:$A$16,'سود سپرده بانکی'!$G$7:$G$16,0)</f>
        <v>158355</v>
      </c>
      <c r="D17" s="7"/>
      <c r="E17" s="297">
        <f t="shared" si="0"/>
        <v>4.8325793927463384E-6</v>
      </c>
      <c r="F17" s="7"/>
      <c r="G17" s="234">
        <f>_xlfn.XLOOKUP(A17,'سود سپرده بانکی'!$A$7:$A$16,'سود سپرده بانکی'!$M$7:$M$16,0)</f>
        <v>558730</v>
      </c>
      <c r="H17" s="7"/>
      <c r="I17" s="297">
        <f t="shared" si="1"/>
        <v>4.6301564455048533E-6</v>
      </c>
      <c r="J17" s="97"/>
      <c r="N17" s="120"/>
    </row>
    <row r="18" spans="1:14" ht="22.5" thickBot="1">
      <c r="A18" s="235"/>
      <c r="B18" s="225"/>
      <c r="C18" s="236">
        <f>SUM(C8:C17)</f>
        <v>32768214887</v>
      </c>
      <c r="D18" s="7"/>
      <c r="E18" s="237">
        <f>SUM(E8:E17)</f>
        <v>1</v>
      </c>
      <c r="F18" s="7"/>
      <c r="G18" s="236">
        <f>SUM(G8:G17)</f>
        <v>120671948470</v>
      </c>
      <c r="H18" s="7"/>
      <c r="I18" s="237">
        <f>SUM(I8:I17)</f>
        <v>0.99999999999999989</v>
      </c>
      <c r="J18" s="97"/>
    </row>
    <row r="19" spans="1:14" ht="22.5" thickTop="1"/>
    <row r="20" spans="1:14">
      <c r="C20" s="68"/>
      <c r="G20" s="68"/>
    </row>
    <row r="21" spans="1:14">
      <c r="C21" s="68"/>
      <c r="D21" s="68"/>
      <c r="E21" s="68"/>
      <c r="F21" s="68"/>
      <c r="G21" s="68"/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18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84" t="s">
        <v>90</v>
      </c>
      <c r="B1" s="484"/>
      <c r="C1" s="484"/>
      <c r="D1" s="484"/>
      <c r="E1" s="484"/>
      <c r="F1" s="484"/>
      <c r="G1" s="484"/>
      <c r="H1" s="484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21">
      <c r="A2" s="484" t="s">
        <v>48</v>
      </c>
      <c r="B2" s="484"/>
      <c r="C2" s="484"/>
      <c r="D2" s="484"/>
      <c r="E2" s="484"/>
      <c r="F2" s="484"/>
      <c r="G2" s="484"/>
      <c r="H2" s="484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21">
      <c r="A3" s="484" t="s">
        <v>91</v>
      </c>
      <c r="B3" s="484"/>
      <c r="C3" s="484"/>
      <c r="D3" s="484"/>
      <c r="E3" s="484"/>
      <c r="F3" s="484"/>
      <c r="G3" s="484"/>
      <c r="H3" s="484"/>
      <c r="I3" s="147"/>
      <c r="J3" s="147"/>
      <c r="K3" s="147"/>
      <c r="L3" s="147"/>
      <c r="M3" s="147"/>
      <c r="N3" s="147"/>
      <c r="O3" s="147"/>
      <c r="P3" s="147"/>
      <c r="Q3" s="147"/>
    </row>
    <row r="5" spans="1:17" ht="25.5">
      <c r="A5" s="476" t="s">
        <v>92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</row>
    <row r="7" spans="1:17" ht="30">
      <c r="A7" s="148" t="s">
        <v>93</v>
      </c>
      <c r="B7" s="148" t="s">
        <v>94</v>
      </c>
      <c r="C7" s="148" t="s">
        <v>95</v>
      </c>
      <c r="D7" s="148" t="s">
        <v>96</v>
      </c>
      <c r="E7" s="148" t="s">
        <v>97</v>
      </c>
      <c r="F7" s="149" t="s">
        <v>98</v>
      </c>
      <c r="G7" s="148" t="s">
        <v>99</v>
      </c>
      <c r="H7" s="149" t="s">
        <v>100</v>
      </c>
    </row>
    <row r="8" spans="1:17" ht="17.25">
      <c r="A8" s="485" t="s">
        <v>101</v>
      </c>
      <c r="B8" s="486" t="s">
        <v>102</v>
      </c>
      <c r="C8" s="150" t="s">
        <v>103</v>
      </c>
      <c r="D8" s="150"/>
      <c r="E8" s="150"/>
      <c r="F8" s="150"/>
      <c r="G8" s="150"/>
      <c r="H8" s="150"/>
    </row>
    <row r="9" spans="1:17" ht="17.25">
      <c r="A9" s="485"/>
      <c r="B9" s="486"/>
      <c r="C9" s="150" t="s">
        <v>104</v>
      </c>
      <c r="D9" s="150"/>
      <c r="E9" s="150"/>
      <c r="F9" s="150"/>
      <c r="G9" s="150"/>
      <c r="H9" s="150"/>
    </row>
    <row r="10" spans="1:17" ht="17.25">
      <c r="A10" s="485" t="s">
        <v>101</v>
      </c>
      <c r="B10" s="486" t="s">
        <v>105</v>
      </c>
      <c r="C10" s="150" t="s">
        <v>103</v>
      </c>
      <c r="D10" s="150"/>
      <c r="E10" s="150"/>
      <c r="F10" s="150"/>
      <c r="G10" s="150"/>
      <c r="H10" s="150"/>
    </row>
    <row r="11" spans="1:17" ht="17.25">
      <c r="A11" s="485"/>
      <c r="B11" s="486"/>
      <c r="C11" s="150" t="s">
        <v>106</v>
      </c>
      <c r="D11" s="150"/>
      <c r="E11" s="150"/>
      <c r="F11" s="150"/>
      <c r="G11" s="150"/>
      <c r="H11" s="150"/>
    </row>
    <row r="12" spans="1:17" ht="57">
      <c r="A12" s="152" t="s">
        <v>107</v>
      </c>
      <c r="B12" s="151" t="s">
        <v>108</v>
      </c>
      <c r="C12" s="150" t="s">
        <v>109</v>
      </c>
      <c r="D12" s="150"/>
      <c r="E12" s="150"/>
      <c r="F12" s="150"/>
      <c r="G12" s="150"/>
      <c r="H12" s="150"/>
    </row>
    <row r="13" spans="1:17" ht="17.25">
      <c r="A13" s="485" t="s">
        <v>110</v>
      </c>
      <c r="B13" s="485" t="s">
        <v>110</v>
      </c>
      <c r="C13" s="150" t="s">
        <v>111</v>
      </c>
      <c r="D13" s="150"/>
      <c r="E13" s="150"/>
      <c r="F13" s="150"/>
      <c r="G13" s="150"/>
      <c r="H13" s="150"/>
    </row>
    <row r="14" spans="1:17" ht="17.25">
      <c r="A14" s="485"/>
      <c r="B14" s="485"/>
      <c r="C14" s="150" t="s">
        <v>112</v>
      </c>
      <c r="D14" s="150"/>
      <c r="E14" s="150"/>
      <c r="F14" s="150"/>
      <c r="G14" s="150"/>
      <c r="H14" s="150"/>
    </row>
    <row r="15" spans="1:17" ht="17.25">
      <c r="A15" s="485"/>
      <c r="B15" s="485"/>
      <c r="C15" s="150" t="s">
        <v>113</v>
      </c>
      <c r="D15" s="150"/>
      <c r="E15" s="150"/>
      <c r="F15" s="150"/>
      <c r="G15" s="150"/>
      <c r="H15" s="150"/>
    </row>
    <row r="16" spans="1:17" ht="17.25">
      <c r="A16" s="485"/>
      <c r="B16" s="485"/>
      <c r="C16" s="150" t="s">
        <v>114</v>
      </c>
      <c r="D16" s="150"/>
      <c r="E16" s="150"/>
      <c r="F16" s="150"/>
      <c r="G16" s="150"/>
      <c r="H16" s="150"/>
    </row>
    <row r="18" spans="1:6" ht="17.25">
      <c r="A18" s="487" t="s">
        <v>115</v>
      </c>
      <c r="B18" s="487"/>
      <c r="C18" s="487"/>
      <c r="D18" s="487"/>
      <c r="E18" s="487"/>
      <c r="F18" s="487"/>
    </row>
    <row r="28" spans="1:6">
      <c r="A28" t="s">
        <v>116</v>
      </c>
    </row>
    <row r="61" spans="34:34">
      <c r="AH61" t="s">
        <v>117</v>
      </c>
    </row>
  </sheetData>
  <mergeCells count="11">
    <mergeCell ref="A10:A11"/>
    <mergeCell ref="B10:B11"/>
    <mergeCell ref="A13:A16"/>
    <mergeCell ref="B13:B16"/>
    <mergeCell ref="A18:F18"/>
    <mergeCell ref="A1:H1"/>
    <mergeCell ref="A2:H2"/>
    <mergeCell ref="A3:H3"/>
    <mergeCell ref="A5:Q5"/>
    <mergeCell ref="A8:A9"/>
    <mergeCell ref="B8:B9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S20"/>
  <sheetViews>
    <sheetView rightToLeft="1" view="pageBreakPreview" zoomScaleNormal="100" zoomScaleSheetLayoutView="100" workbookViewId="0">
      <selection activeCell="M12" sqref="M12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82" t="s">
        <v>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19" ht="22.5">
      <c r="A2" s="482" t="s">
        <v>48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</row>
    <row r="3" spans="1:19" ht="22.5">
      <c r="A3" s="482" t="str">
        <f>روکش!A21</f>
        <v>منتهی به 1405/01/31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</row>
    <row r="4" spans="1:19" ht="22.5">
      <c r="A4" s="442" t="s">
        <v>163</v>
      </c>
      <c r="B4" s="442"/>
      <c r="C4" s="442"/>
      <c r="D4" s="442"/>
      <c r="E4" s="442"/>
      <c r="F4" s="442"/>
      <c r="G4" s="442"/>
      <c r="H4" s="100"/>
      <c r="I4" s="490"/>
      <c r="J4" s="490"/>
      <c r="K4" s="490"/>
      <c r="L4" s="490"/>
      <c r="M4" s="490"/>
      <c r="N4" s="490"/>
      <c r="O4" s="490"/>
      <c r="P4" s="490"/>
      <c r="Q4" s="491"/>
      <c r="R4" s="491"/>
      <c r="S4" s="491"/>
    </row>
    <row r="6" spans="1:19" ht="18.75">
      <c r="C6" s="488" t="s">
        <v>65</v>
      </c>
      <c r="D6" s="489"/>
      <c r="E6" s="489"/>
      <c r="F6" s="489"/>
      <c r="G6" s="489"/>
      <c r="I6" s="488" t="s">
        <v>183</v>
      </c>
      <c r="J6" s="489"/>
      <c r="K6" s="489"/>
      <c r="L6" s="489"/>
      <c r="M6" s="489"/>
      <c r="O6" s="488" t="s">
        <v>182</v>
      </c>
      <c r="P6" s="489"/>
      <c r="Q6" s="489"/>
      <c r="R6" s="489"/>
      <c r="S6" s="489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F12"/>
  <sheetViews>
    <sheetView rightToLeft="1" view="pageBreakPreview" zoomScaleNormal="100" zoomScaleSheetLayoutView="100" workbookViewId="0">
      <selection activeCell="C8" sqref="C8:E8"/>
    </sheetView>
  </sheetViews>
  <sheetFormatPr defaultColWidth="9.140625" defaultRowHeight="18"/>
  <cols>
    <col min="1" max="1" width="32.42578125" style="96" customWidth="1"/>
    <col min="2" max="2" width="1.42578125" style="96" customWidth="1"/>
    <col min="3" max="3" width="17.7109375" style="96" bestFit="1" customWidth="1"/>
    <col min="4" max="4" width="0.85546875" style="96" customWidth="1"/>
    <col min="5" max="5" width="37.5703125" style="96" customWidth="1"/>
    <col min="6" max="6" width="16.5703125" style="96" customWidth="1"/>
    <col min="7" max="16384" width="9.140625" style="96"/>
  </cols>
  <sheetData>
    <row r="1" spans="1:6" s="127" customFormat="1" ht="18.75">
      <c r="A1" s="452" t="s">
        <v>75</v>
      </c>
      <c r="B1" s="452"/>
      <c r="C1" s="452"/>
      <c r="D1" s="452"/>
      <c r="E1" s="452"/>
    </row>
    <row r="2" spans="1:6" s="127" customFormat="1" ht="18.75">
      <c r="A2" s="452" t="s">
        <v>48</v>
      </c>
      <c r="B2" s="452"/>
      <c r="C2" s="452"/>
      <c r="D2" s="452"/>
      <c r="E2" s="452"/>
    </row>
    <row r="3" spans="1:6" s="127" customFormat="1" ht="18.75">
      <c r="A3" s="452" t="str">
        <f>روکش!A21</f>
        <v>منتهی به 1405/01/31</v>
      </c>
      <c r="B3" s="452"/>
      <c r="C3" s="452"/>
      <c r="D3" s="452"/>
      <c r="E3" s="452"/>
    </row>
    <row r="4" spans="1:6" ht="18.75">
      <c r="A4" s="442" t="s">
        <v>133</v>
      </c>
      <c r="B4" s="442"/>
      <c r="C4" s="442"/>
      <c r="D4" s="442"/>
      <c r="E4" s="442"/>
    </row>
    <row r="5" spans="1:6" ht="36.75" customHeight="1" thickBot="1">
      <c r="A5" s="122"/>
      <c r="B5" s="123"/>
      <c r="C5" s="128" t="s">
        <v>188</v>
      </c>
      <c r="D5" s="97"/>
      <c r="E5" s="128" t="s">
        <v>189</v>
      </c>
    </row>
    <row r="6" spans="1:6" ht="18.75">
      <c r="A6" s="477"/>
      <c r="B6" s="478"/>
      <c r="C6" s="479" t="s">
        <v>6</v>
      </c>
      <c r="D6" s="124"/>
      <c r="E6" s="479" t="s">
        <v>6</v>
      </c>
    </row>
    <row r="7" spans="1:6" ht="18.75" customHeight="1" thickBot="1">
      <c r="A7" s="478"/>
      <c r="B7" s="478"/>
      <c r="C7" s="481"/>
      <c r="D7" s="126"/>
      <c r="E7" s="481"/>
    </row>
    <row r="8" spans="1:6" ht="25.9" customHeight="1">
      <c r="A8" s="129" t="s">
        <v>25</v>
      </c>
      <c r="B8" s="7"/>
      <c r="C8" s="347">
        <v>119327601</v>
      </c>
      <c r="D8" s="347"/>
      <c r="E8" s="347">
        <v>5865596</v>
      </c>
      <c r="F8" s="141"/>
    </row>
    <row r="9" spans="1:6" ht="19.5" thickBot="1">
      <c r="A9" s="124"/>
      <c r="B9" s="159"/>
      <c r="C9" s="192">
        <f>SUM(C8:C8)</f>
        <v>119327601</v>
      </c>
      <c r="D9" s="193"/>
      <c r="E9" s="194">
        <f>SUM(E8:E8)</f>
        <v>5865596</v>
      </c>
    </row>
    <row r="10" spans="1:6" ht="18.75" thickTop="1">
      <c r="D10" s="60"/>
    </row>
    <row r="12" spans="1:6">
      <c r="E12" s="99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8"/>
  <sheetViews>
    <sheetView rightToLeft="1" view="pageBreakPreview" zoomScale="80" zoomScaleNormal="100" zoomScaleSheetLayoutView="80" workbookViewId="0">
      <selection activeCell="Q8" sqref="Q8"/>
    </sheetView>
  </sheetViews>
  <sheetFormatPr defaultColWidth="9.140625" defaultRowHeight="30.75" customHeight="1"/>
  <cols>
    <col min="1" max="1" width="44" style="96" bestFit="1" customWidth="1"/>
    <col min="2" max="2" width="0.5703125" style="96" customWidth="1"/>
    <col min="3" max="3" width="14" style="96" customWidth="1"/>
    <col min="4" max="4" width="0.42578125" style="96" customWidth="1"/>
    <col min="5" max="5" width="14" style="96" customWidth="1"/>
    <col min="6" max="6" width="0.5703125" style="96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96" customWidth="1"/>
    <col min="19" max="19" width="6.7109375" style="134" customWidth="1"/>
    <col min="20" max="20" width="17.140625" style="132" customWidth="1"/>
    <col min="21" max="21" width="14.5703125" style="96" bestFit="1" customWidth="1"/>
    <col min="22" max="22" width="16" style="132" customWidth="1"/>
    <col min="23" max="23" width="6.42578125" style="96" customWidth="1"/>
    <col min="24" max="24" width="17.85546875" style="96" customWidth="1"/>
    <col min="25" max="25" width="15.42578125" style="96" customWidth="1"/>
    <col min="26" max="26" width="3.28515625" style="96" customWidth="1"/>
    <col min="27" max="27" width="4.28515625" style="96" customWidth="1"/>
    <col min="28" max="28" width="7.5703125" style="134" customWidth="1"/>
    <col min="29" max="29" width="13.85546875" style="132" customWidth="1"/>
    <col min="30" max="30" width="6.42578125" style="96" customWidth="1"/>
    <col min="31" max="31" width="16" style="132" customWidth="1"/>
    <col min="32" max="32" width="6.42578125" style="96" customWidth="1"/>
    <col min="33" max="33" width="13.140625" style="96" customWidth="1"/>
    <col min="34" max="34" width="21" style="96" customWidth="1"/>
    <col min="35" max="16384" width="9.140625" style="96"/>
  </cols>
  <sheetData>
    <row r="1" spans="1:33" s="84" customFormat="1" ht="24.6" customHeight="1">
      <c r="A1" s="482" t="s">
        <v>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S1" s="135"/>
      <c r="T1" s="133"/>
      <c r="V1" s="133"/>
      <c r="AB1" s="135"/>
      <c r="AC1" s="133"/>
      <c r="AE1" s="133"/>
    </row>
    <row r="2" spans="1:33" s="84" customFormat="1" ht="24.6" customHeight="1">
      <c r="A2" s="482" t="s">
        <v>48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S2" s="135"/>
      <c r="T2" s="133"/>
      <c r="V2" s="133"/>
      <c r="AB2" s="135"/>
      <c r="AC2" s="133"/>
      <c r="AE2" s="133"/>
    </row>
    <row r="3" spans="1:33" s="84" customFormat="1" ht="24.6" customHeight="1">
      <c r="A3" s="482" t="str">
        <f>روکش!A21</f>
        <v>منتهی به 1405/01/31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S3" s="135"/>
      <c r="T3" s="133"/>
      <c r="V3" s="133"/>
      <c r="AB3" s="135"/>
      <c r="AC3" s="133"/>
      <c r="AE3" s="133"/>
    </row>
    <row r="4" spans="1:33" ht="30.75" customHeight="1">
      <c r="A4" s="492" t="s">
        <v>167</v>
      </c>
      <c r="B4" s="492"/>
      <c r="C4" s="492"/>
      <c r="D4" s="492"/>
      <c r="E4" s="492"/>
      <c r="F4" s="492"/>
      <c r="G4" s="492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1"/>
      <c r="B5" s="493"/>
      <c r="C5" s="493"/>
      <c r="D5" s="493"/>
      <c r="E5" s="493"/>
      <c r="F5" s="117"/>
      <c r="G5" s="494" t="s">
        <v>188</v>
      </c>
      <c r="H5" s="494"/>
      <c r="I5" s="494"/>
      <c r="J5" s="494"/>
      <c r="K5" s="494"/>
      <c r="L5" s="65"/>
      <c r="M5" s="494" t="s">
        <v>189</v>
      </c>
      <c r="N5" s="494"/>
      <c r="O5" s="494"/>
      <c r="P5" s="494"/>
      <c r="Q5" s="494"/>
    </row>
    <row r="6" spans="1:33" ht="42" customHeight="1" thickBot="1">
      <c r="A6" s="19" t="s">
        <v>30</v>
      </c>
      <c r="B6" s="118"/>
      <c r="C6" s="119" t="s">
        <v>19</v>
      </c>
      <c r="D6" s="118"/>
      <c r="E6" s="119" t="s">
        <v>27</v>
      </c>
      <c r="F6" s="118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02" t="s">
        <v>165</v>
      </c>
      <c r="B7" s="121"/>
      <c r="C7" s="121" t="s">
        <v>136</v>
      </c>
      <c r="D7" s="121"/>
      <c r="E7" s="350">
        <v>20.5</v>
      </c>
      <c r="F7" s="121"/>
      <c r="G7" s="121">
        <v>9952999985</v>
      </c>
      <c r="H7" s="121"/>
      <c r="I7" s="121">
        <v>0</v>
      </c>
      <c r="J7" s="121"/>
      <c r="K7" s="121">
        <f>G7+I7</f>
        <v>9952999985</v>
      </c>
      <c r="L7" s="121"/>
      <c r="M7" s="121">
        <v>40954264871</v>
      </c>
      <c r="N7" s="121"/>
      <c r="O7" s="121">
        <v>0</v>
      </c>
      <c r="P7" s="121"/>
      <c r="Q7" s="121">
        <f>M7+O7</f>
        <v>40954264871</v>
      </c>
      <c r="R7" s="141"/>
      <c r="S7" s="133"/>
      <c r="U7" s="141"/>
      <c r="W7" s="138"/>
      <c r="X7" s="99"/>
      <c r="AB7" s="135"/>
      <c r="AD7" s="138"/>
      <c r="AF7" s="138"/>
      <c r="AG7" s="99"/>
    </row>
    <row r="8" spans="1:33" ht="30" customHeight="1">
      <c r="A8" s="302" t="s">
        <v>123</v>
      </c>
      <c r="B8" s="121"/>
      <c r="C8" s="121" t="s">
        <v>124</v>
      </c>
      <c r="D8" s="121"/>
      <c r="E8" s="350">
        <v>26</v>
      </c>
      <c r="F8" s="121"/>
      <c r="G8" s="121">
        <v>6583630934</v>
      </c>
      <c r="H8" s="121"/>
      <c r="I8" s="121"/>
      <c r="J8" s="121"/>
      <c r="K8" s="121">
        <f>G8+I8</f>
        <v>6583630934</v>
      </c>
      <c r="L8" s="121"/>
      <c r="M8" s="121">
        <v>24833248532</v>
      </c>
      <c r="N8" s="121"/>
      <c r="O8" s="121">
        <v>0</v>
      </c>
      <c r="P8" s="121"/>
      <c r="Q8" s="121">
        <f>M8+O8</f>
        <v>24833248532</v>
      </c>
      <c r="R8" s="141"/>
      <c r="S8" s="133"/>
      <c r="U8" s="141"/>
      <c r="W8" s="138"/>
      <c r="X8" s="99"/>
      <c r="AB8" s="135"/>
      <c r="AD8" s="138"/>
      <c r="AF8" s="138"/>
      <c r="AG8" s="99"/>
    </row>
    <row r="9" spans="1:33" ht="30" customHeight="1">
      <c r="A9" s="302" t="s">
        <v>135</v>
      </c>
      <c r="B9" s="121"/>
      <c r="C9" s="121" t="s">
        <v>137</v>
      </c>
      <c r="D9" s="121"/>
      <c r="E9" s="350">
        <v>23</v>
      </c>
      <c r="F9" s="121"/>
      <c r="G9" s="121">
        <v>6659715314</v>
      </c>
      <c r="H9" s="121"/>
      <c r="I9" s="121">
        <v>0</v>
      </c>
      <c r="J9" s="121"/>
      <c r="K9" s="121">
        <f>G9+I9</f>
        <v>6659715314</v>
      </c>
      <c r="L9" s="121"/>
      <c r="M9" s="121">
        <v>25092986546</v>
      </c>
      <c r="N9" s="121"/>
      <c r="O9" s="121">
        <v>0</v>
      </c>
      <c r="P9" s="121"/>
      <c r="Q9" s="121">
        <f>M9+O9</f>
        <v>25092986546</v>
      </c>
      <c r="S9" s="133"/>
      <c r="U9" s="141"/>
      <c r="W9" s="138"/>
      <c r="X9" s="99"/>
      <c r="AB9" s="135"/>
      <c r="AD9" s="143"/>
      <c r="AF9" s="138"/>
      <c r="AG9" s="99"/>
    </row>
    <row r="10" spans="1:33" ht="30" customHeight="1">
      <c r="A10" s="302" t="s">
        <v>87</v>
      </c>
      <c r="B10" s="121"/>
      <c r="C10" s="121" t="s">
        <v>88</v>
      </c>
      <c r="D10" s="121"/>
      <c r="E10" s="350">
        <v>23</v>
      </c>
      <c r="F10" s="121"/>
      <c r="G10" s="121">
        <v>9394034915</v>
      </c>
      <c r="H10" s="121"/>
      <c r="I10" s="121">
        <v>0</v>
      </c>
      <c r="J10" s="121"/>
      <c r="K10" s="121">
        <f t="shared" ref="K10" si="0">G10+I10</f>
        <v>9394034915</v>
      </c>
      <c r="L10" s="121"/>
      <c r="M10" s="121">
        <v>35960937572</v>
      </c>
      <c r="N10" s="121"/>
      <c r="O10" s="121">
        <v>0</v>
      </c>
      <c r="P10" s="121"/>
      <c r="Q10" s="121">
        <f t="shared" ref="Q10" si="1">M10+O10</f>
        <v>35960937572</v>
      </c>
      <c r="R10" s="141"/>
      <c r="S10" s="133"/>
      <c r="U10" s="141"/>
      <c r="W10" s="138"/>
      <c r="X10" s="99"/>
      <c r="AB10" s="135"/>
      <c r="AD10" s="138"/>
      <c r="AF10" s="138"/>
      <c r="AG10" s="99"/>
    </row>
    <row r="11" spans="1:33" ht="30" customHeight="1">
      <c r="A11" s="302" t="s">
        <v>159</v>
      </c>
      <c r="B11" s="121"/>
      <c r="C11" s="121" t="s">
        <v>166</v>
      </c>
      <c r="D11" s="121"/>
      <c r="E11" s="350">
        <v>23</v>
      </c>
      <c r="F11" s="121"/>
      <c r="G11" s="121">
        <v>2055789080</v>
      </c>
      <c r="H11" s="121"/>
      <c r="I11" s="121">
        <v>0</v>
      </c>
      <c r="J11" s="121"/>
      <c r="K11" s="121">
        <f>G11+I11</f>
        <v>2055789080</v>
      </c>
      <c r="L11" s="121"/>
      <c r="M11" s="121">
        <v>7816186341</v>
      </c>
      <c r="N11" s="121"/>
      <c r="O11" s="121">
        <v>0</v>
      </c>
      <c r="P11" s="121"/>
      <c r="Q11" s="121">
        <f>M11+O11</f>
        <v>7816186341</v>
      </c>
      <c r="S11" s="136"/>
      <c r="U11" s="141"/>
      <c r="W11" s="138"/>
      <c r="X11" s="99"/>
      <c r="AB11" s="136"/>
      <c r="AF11" s="138"/>
      <c r="AG11" s="99"/>
    </row>
    <row r="12" spans="1:33" ht="30" customHeight="1">
      <c r="A12" s="302" t="s">
        <v>134</v>
      </c>
      <c r="B12" s="121"/>
      <c r="C12" s="121" t="s">
        <v>160</v>
      </c>
      <c r="D12" s="121"/>
      <c r="E12" s="350">
        <v>23</v>
      </c>
      <c r="F12" s="121"/>
      <c r="G12" s="121">
        <v>1910267616</v>
      </c>
      <c r="H12" s="121"/>
      <c r="I12" s="121">
        <v>0</v>
      </c>
      <c r="J12" s="121"/>
      <c r="K12" s="121">
        <f>G12+I12</f>
        <v>1910267616</v>
      </c>
      <c r="L12" s="121"/>
      <c r="M12" s="121">
        <v>8222871002</v>
      </c>
      <c r="N12" s="121"/>
      <c r="O12" s="121">
        <v>0</v>
      </c>
      <c r="P12" s="121"/>
      <c r="Q12" s="121">
        <f>M12+O12</f>
        <v>8222871002</v>
      </c>
      <c r="S12" s="133"/>
      <c r="U12" s="141"/>
      <c r="W12" s="138"/>
      <c r="X12" s="99"/>
      <c r="AB12" s="135"/>
      <c r="AD12" s="143"/>
      <c r="AF12" s="138"/>
      <c r="AG12" s="99"/>
    </row>
    <row r="13" spans="1:33" s="84" customFormat="1" ht="24.75" customHeight="1" thickBot="1">
      <c r="A13" s="226"/>
      <c r="B13" s="157"/>
      <c r="C13" s="227"/>
      <c r="D13" s="228"/>
      <c r="E13" s="158"/>
      <c r="F13" s="166">
        <f>SUM(F8:F12)</f>
        <v>0</v>
      </c>
      <c r="G13" s="229">
        <f>SUM(G7:G12)</f>
        <v>36556437844</v>
      </c>
      <c r="H13" s="230"/>
      <c r="I13" s="229">
        <f>SUM(I7:I12)</f>
        <v>0</v>
      </c>
      <c r="J13" s="230">
        <f>SUM(J8:J12)</f>
        <v>0</v>
      </c>
      <c r="K13" s="229">
        <f>SUM(K7:K12)</f>
        <v>36556437844</v>
      </c>
      <c r="L13" s="230"/>
      <c r="M13" s="229">
        <f>SUM(M7:M12)</f>
        <v>142880494864</v>
      </c>
      <c r="N13" s="230"/>
      <c r="O13" s="229">
        <f>SUM(O7:O12)</f>
        <v>0</v>
      </c>
      <c r="P13" s="230"/>
      <c r="Q13" s="229">
        <f>SUM(Q7:Q12)</f>
        <v>142880494864</v>
      </c>
      <c r="S13" s="231"/>
      <c r="T13" s="63"/>
      <c r="U13" s="141"/>
      <c r="V13" s="63"/>
      <c r="X13" s="120"/>
      <c r="AB13" s="232"/>
      <c r="AC13" s="63"/>
      <c r="AE13" s="63"/>
      <c r="AG13" s="120"/>
    </row>
    <row r="14" spans="1:33" ht="30.75" customHeight="1" thickTop="1">
      <c r="H14" s="62"/>
      <c r="J14" s="62"/>
      <c r="L14" s="62"/>
      <c r="P14" s="62"/>
    </row>
    <row r="15" spans="1:33" ht="30.75" hidden="1" customHeight="1">
      <c r="G15" s="68">
        <v>24025147401</v>
      </c>
      <c r="M15" s="68">
        <v>92657151140</v>
      </c>
    </row>
    <row r="16" spans="1:33" ht="30.75" hidden="1" customHeight="1">
      <c r="G16" s="68">
        <f>G13-G15</f>
        <v>12531290443</v>
      </c>
      <c r="M16" s="68">
        <f>M13-M15</f>
        <v>50223343724</v>
      </c>
    </row>
    <row r="17" ht="30.75" hidden="1" customHeight="1"/>
    <row r="18" ht="30.75" hidden="1" customHeight="1"/>
  </sheetData>
  <autoFilter ref="A6:Q12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AD37"/>
  <sheetViews>
    <sheetView rightToLeft="1" view="pageBreakPreview" zoomScale="90" zoomScaleNormal="100" zoomScaleSheetLayoutView="90" workbookViewId="0">
      <selection activeCell="C20" sqref="C20:M30"/>
    </sheetView>
  </sheetViews>
  <sheetFormatPr defaultColWidth="9.140625" defaultRowHeight="30.75" customHeight="1"/>
  <cols>
    <col min="1" max="1" width="23.140625" style="96" customWidth="1"/>
    <col min="2" max="2" width="0.85546875" style="96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84" hidden="1" customWidth="1"/>
    <col min="17" max="17" width="2.7109375" style="184" hidden="1" customWidth="1"/>
    <col min="18" max="18" width="4.42578125" style="184" hidden="1" customWidth="1"/>
    <col min="19" max="19" width="12.85546875" style="184" hidden="1" customWidth="1"/>
    <col min="20" max="20" width="19.5703125" style="184" hidden="1" customWidth="1"/>
    <col min="21" max="21" width="14.5703125" style="61" hidden="1" customWidth="1"/>
    <col min="22" max="22" width="30.28515625" style="96" hidden="1" customWidth="1"/>
    <col min="23" max="23" width="16.5703125" style="96" hidden="1" customWidth="1"/>
    <col min="24" max="24" width="16.7109375" style="96" customWidth="1"/>
    <col min="25" max="25" width="52.7109375" style="96" bestFit="1" customWidth="1"/>
    <col min="26" max="26" width="11.7109375" style="96" bestFit="1" customWidth="1"/>
    <col min="27" max="27" width="11.140625" style="96" bestFit="1" customWidth="1"/>
    <col min="28" max="16384" width="9.140625" style="96"/>
  </cols>
  <sheetData>
    <row r="1" spans="1:25" ht="30.75" customHeight="1">
      <c r="A1" s="424" t="s">
        <v>75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85"/>
      <c r="O1" s="86"/>
      <c r="P1" s="238"/>
      <c r="Q1" s="238"/>
      <c r="R1" s="238"/>
      <c r="S1" s="238"/>
      <c r="T1" s="238"/>
      <c r="U1" s="85"/>
    </row>
    <row r="2" spans="1:25" ht="30.75" customHeight="1">
      <c r="A2" s="424" t="s">
        <v>48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85"/>
      <c r="O2" s="86"/>
      <c r="P2" s="238"/>
      <c r="Q2" s="238"/>
      <c r="R2" s="238"/>
      <c r="S2" s="238"/>
      <c r="T2" s="238"/>
      <c r="U2" s="85"/>
    </row>
    <row r="3" spans="1:25" ht="30.75" customHeight="1">
      <c r="A3" s="424" t="str">
        <f>روکش!A21</f>
        <v>منتهی به 1405/01/31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85"/>
      <c r="O3" s="86"/>
      <c r="P3" s="238"/>
      <c r="Q3" s="238"/>
      <c r="R3" s="238"/>
      <c r="S3" s="238"/>
      <c r="T3" s="238"/>
      <c r="U3" s="85"/>
    </row>
    <row r="4" spans="1:25" ht="30.75" customHeight="1">
      <c r="A4" s="492" t="s">
        <v>118</v>
      </c>
      <c r="B4" s="492"/>
      <c r="C4" s="492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1"/>
      <c r="B5" s="239"/>
      <c r="C5" s="495" t="s">
        <v>188</v>
      </c>
      <c r="D5" s="495"/>
      <c r="E5" s="495"/>
      <c r="F5" s="495"/>
      <c r="G5" s="495"/>
      <c r="H5" s="63"/>
      <c r="I5" s="495" t="s">
        <v>189</v>
      </c>
      <c r="J5" s="495"/>
      <c r="K5" s="495"/>
      <c r="L5" s="495"/>
      <c r="M5" s="495"/>
      <c r="N5" s="169"/>
      <c r="O5" s="168"/>
      <c r="P5" s="185"/>
      <c r="Q5" s="185"/>
      <c r="R5" s="185"/>
      <c r="S5" s="185"/>
      <c r="T5" s="185"/>
      <c r="U5" s="169"/>
    </row>
    <row r="6" spans="1:25" ht="28.5" customHeight="1" thickBot="1">
      <c r="A6" s="257" t="s">
        <v>30</v>
      </c>
      <c r="B6" s="118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0"/>
      <c r="O6" s="161"/>
      <c r="P6" s="186"/>
      <c r="Q6" s="186"/>
      <c r="R6" s="186"/>
      <c r="S6" s="186"/>
      <c r="T6" s="186"/>
      <c r="U6" s="170"/>
    </row>
    <row r="7" spans="1:25" ht="17.45" customHeight="1">
      <c r="A7" s="294" t="s">
        <v>158</v>
      </c>
      <c r="B7" s="196"/>
      <c r="C7" s="196">
        <v>299522</v>
      </c>
      <c r="D7" s="196"/>
      <c r="E7" s="196">
        <v>0</v>
      </c>
      <c r="F7" s="196"/>
      <c r="G7" s="196">
        <f>C7+E7</f>
        <v>299522</v>
      </c>
      <c r="H7" s="196"/>
      <c r="I7" s="196">
        <v>1221513</v>
      </c>
      <c r="J7" s="196"/>
      <c r="K7" s="196">
        <v>0</v>
      </c>
      <c r="L7" s="196"/>
      <c r="M7" s="196">
        <f>I7+K7</f>
        <v>1221513</v>
      </c>
      <c r="N7" s="240" t="str">
        <f>A7</f>
        <v>بانک اقتصادنوین</v>
      </c>
      <c r="O7" s="143">
        <v>0.05</v>
      </c>
      <c r="P7" s="184">
        <v>0</v>
      </c>
      <c r="R7" s="241">
        <v>0.05</v>
      </c>
      <c r="S7" s="242">
        <f t="shared" ref="S7:S14" si="0">P7*R7/O7</f>
        <v>0</v>
      </c>
      <c r="T7" s="243">
        <f t="shared" ref="T7:T14" si="1">P7-S7</f>
        <v>0</v>
      </c>
      <c r="U7" s="171"/>
    </row>
    <row r="8" spans="1:25" ht="17.45" customHeight="1">
      <c r="A8" s="294" t="s">
        <v>149</v>
      </c>
      <c r="B8" s="196"/>
      <c r="C8" s="196">
        <v>22948</v>
      </c>
      <c r="D8" s="196"/>
      <c r="E8" s="196">
        <v>0</v>
      </c>
      <c r="F8" s="196"/>
      <c r="G8" s="196">
        <f t="shared" ref="G8:G16" si="2">C8+E8</f>
        <v>22948</v>
      </c>
      <c r="H8" s="196"/>
      <c r="I8" s="196">
        <v>95288</v>
      </c>
      <c r="J8" s="196"/>
      <c r="K8" s="196">
        <v>0</v>
      </c>
      <c r="L8" s="196"/>
      <c r="M8" s="196">
        <f t="shared" ref="M8:M16" si="3">I8+K8</f>
        <v>95288</v>
      </c>
      <c r="N8" s="240"/>
      <c r="O8" s="143"/>
      <c r="R8" s="241"/>
      <c r="S8" s="242"/>
      <c r="T8" s="243"/>
      <c r="U8" s="171"/>
    </row>
    <row r="9" spans="1:25" ht="17.45" customHeight="1">
      <c r="A9" s="294" t="s">
        <v>150</v>
      </c>
      <c r="B9" s="196"/>
      <c r="C9" s="196">
        <v>1445529899</v>
      </c>
      <c r="D9" s="196"/>
      <c r="E9" s="196">
        <v>0</v>
      </c>
      <c r="F9" s="196"/>
      <c r="G9" s="196">
        <f t="shared" si="2"/>
        <v>1445529899</v>
      </c>
      <c r="H9" s="196"/>
      <c r="I9" s="196">
        <v>17084436956</v>
      </c>
      <c r="J9" s="196"/>
      <c r="K9" s="196">
        <v>0</v>
      </c>
      <c r="L9" s="196"/>
      <c r="M9" s="196">
        <f t="shared" si="3"/>
        <v>17084436956</v>
      </c>
      <c r="N9" s="240"/>
      <c r="O9" s="143"/>
      <c r="R9" s="241"/>
      <c r="S9" s="242"/>
      <c r="T9" s="243"/>
      <c r="U9" s="171"/>
      <c r="Y9" s="354"/>
    </row>
    <row r="10" spans="1:25" ht="17.45" customHeight="1">
      <c r="A10" s="294" t="s">
        <v>151</v>
      </c>
      <c r="B10" s="196"/>
      <c r="C10" s="196">
        <v>3498510</v>
      </c>
      <c r="D10" s="196"/>
      <c r="E10" s="196">
        <v>0</v>
      </c>
      <c r="F10" s="196"/>
      <c r="G10" s="196">
        <f t="shared" si="2"/>
        <v>3498510</v>
      </c>
      <c r="H10" s="196"/>
      <c r="I10" s="196">
        <v>8159552</v>
      </c>
      <c r="J10" s="196"/>
      <c r="K10" s="196">
        <v>0</v>
      </c>
      <c r="L10" s="196"/>
      <c r="M10" s="196">
        <f t="shared" si="3"/>
        <v>8159552</v>
      </c>
      <c r="N10" s="240"/>
      <c r="O10" s="143"/>
      <c r="R10" s="241"/>
      <c r="S10" s="242"/>
      <c r="T10" s="243"/>
      <c r="U10" s="171"/>
      <c r="Y10" s="354"/>
    </row>
    <row r="11" spans="1:25" ht="17.45" customHeight="1">
      <c r="A11" s="294" t="s">
        <v>152</v>
      </c>
      <c r="B11" s="196"/>
      <c r="C11" s="196">
        <v>4150111632</v>
      </c>
      <c r="D11" s="196"/>
      <c r="E11" s="196">
        <v>-100107087</v>
      </c>
      <c r="F11" s="196"/>
      <c r="G11" s="196">
        <f t="shared" si="2"/>
        <v>4050004545</v>
      </c>
      <c r="H11" s="196"/>
      <c r="I11" s="196">
        <v>18394006234</v>
      </c>
      <c r="J11" s="196"/>
      <c r="K11" s="196">
        <v>-39956634</v>
      </c>
      <c r="L11" s="196"/>
      <c r="M11" s="196">
        <f t="shared" si="3"/>
        <v>18354049600</v>
      </c>
      <c r="N11" s="240"/>
      <c r="O11" s="143"/>
      <c r="R11" s="241"/>
      <c r="S11" s="242"/>
      <c r="T11" s="243"/>
      <c r="U11" s="171"/>
    </row>
    <row r="12" spans="1:25" ht="17.45" customHeight="1">
      <c r="A12" s="294" t="s">
        <v>153</v>
      </c>
      <c r="B12" s="196"/>
      <c r="C12" s="196">
        <v>0</v>
      </c>
      <c r="D12" s="196"/>
      <c r="E12" s="196">
        <v>0</v>
      </c>
      <c r="F12" s="196"/>
      <c r="G12" s="196">
        <f t="shared" si="2"/>
        <v>0</v>
      </c>
      <c r="H12" s="196"/>
      <c r="I12" s="196">
        <v>1195</v>
      </c>
      <c r="J12" s="196"/>
      <c r="K12" s="196">
        <v>0</v>
      </c>
      <c r="L12" s="196"/>
      <c r="M12" s="196">
        <f t="shared" si="3"/>
        <v>1195</v>
      </c>
      <c r="N12" s="240"/>
      <c r="O12" s="143"/>
      <c r="R12" s="241"/>
      <c r="S12" s="242"/>
      <c r="T12" s="243"/>
      <c r="U12" s="171"/>
    </row>
    <row r="13" spans="1:25" ht="17.45" customHeight="1">
      <c r="A13" s="294" t="s">
        <v>154</v>
      </c>
      <c r="B13" s="196"/>
      <c r="C13" s="196">
        <v>17714920803</v>
      </c>
      <c r="D13" s="196"/>
      <c r="E13" s="196">
        <v>0</v>
      </c>
      <c r="F13" s="196"/>
      <c r="G13" s="196">
        <f t="shared" si="2"/>
        <v>17714920803</v>
      </c>
      <c r="H13" s="196"/>
      <c r="I13" s="196">
        <v>45671703402</v>
      </c>
      <c r="J13" s="196"/>
      <c r="K13" s="196">
        <v>0</v>
      </c>
      <c r="L13" s="196"/>
      <c r="M13" s="196">
        <f t="shared" si="3"/>
        <v>45671703402</v>
      </c>
      <c r="N13" s="240"/>
      <c r="O13" s="143"/>
      <c r="R13" s="241"/>
      <c r="S13" s="242"/>
      <c r="T13" s="243"/>
      <c r="U13" s="171"/>
    </row>
    <row r="14" spans="1:25" ht="17.45" customHeight="1">
      <c r="A14" s="294" t="s">
        <v>155</v>
      </c>
      <c r="B14" s="196"/>
      <c r="C14" s="196">
        <v>9621458368</v>
      </c>
      <c r="D14" s="196"/>
      <c r="E14" s="196">
        <v>-67686583</v>
      </c>
      <c r="F14" s="196"/>
      <c r="G14" s="196">
        <f t="shared" si="2"/>
        <v>9553771785</v>
      </c>
      <c r="H14" s="196"/>
      <c r="I14" s="196">
        <v>39564272549</v>
      </c>
      <c r="J14" s="196"/>
      <c r="K14" s="196">
        <v>-12584656</v>
      </c>
      <c r="L14" s="196"/>
      <c r="M14" s="196">
        <f t="shared" si="3"/>
        <v>39551687893</v>
      </c>
      <c r="N14" s="240" t="str">
        <f t="shared" ref="N14:N16" si="4">A14</f>
        <v>بانک گردشگری</v>
      </c>
      <c r="O14" s="244">
        <v>0.30499999999999999</v>
      </c>
      <c r="P14" s="184">
        <v>1372122270</v>
      </c>
      <c r="R14" s="245">
        <v>0.22500000000000001</v>
      </c>
      <c r="S14" s="242">
        <f t="shared" si="0"/>
        <v>1012221346.7213115</v>
      </c>
      <c r="T14" s="243">
        <f t="shared" si="1"/>
        <v>359900923.27868855</v>
      </c>
      <c r="U14" s="171"/>
    </row>
    <row r="15" spans="1:25" s="84" customFormat="1" ht="17.45" customHeight="1">
      <c r="A15" s="294" t="s">
        <v>162</v>
      </c>
      <c r="B15" s="196"/>
      <c r="C15" s="196">
        <v>8520</v>
      </c>
      <c r="D15" s="196"/>
      <c r="E15" s="196">
        <v>0</v>
      </c>
      <c r="F15" s="196"/>
      <c r="G15" s="196">
        <f t="shared" si="2"/>
        <v>8520</v>
      </c>
      <c r="H15" s="196"/>
      <c r="I15" s="196">
        <v>34341</v>
      </c>
      <c r="J15" s="196"/>
      <c r="K15" s="196">
        <v>0</v>
      </c>
      <c r="L15" s="196"/>
      <c r="M15" s="196">
        <f t="shared" si="3"/>
        <v>34341</v>
      </c>
      <c r="N15" s="240"/>
      <c r="O15" s="244"/>
      <c r="P15" s="187"/>
      <c r="Q15" s="187"/>
      <c r="R15" s="241"/>
      <c r="S15" s="242"/>
      <c r="T15" s="243"/>
      <c r="U15" s="171"/>
    </row>
    <row r="16" spans="1:25" ht="17.45" customHeight="1">
      <c r="A16" s="294" t="s">
        <v>157</v>
      </c>
      <c r="B16" s="196"/>
      <c r="C16" s="196">
        <v>158355</v>
      </c>
      <c r="D16" s="196"/>
      <c r="E16" s="196">
        <v>0</v>
      </c>
      <c r="F16" s="196"/>
      <c r="G16" s="196">
        <f t="shared" si="2"/>
        <v>158355</v>
      </c>
      <c r="H16" s="196"/>
      <c r="I16" s="196">
        <v>558730</v>
      </c>
      <c r="J16" s="196"/>
      <c r="K16" s="196">
        <v>0</v>
      </c>
      <c r="L16" s="196"/>
      <c r="M16" s="196">
        <f t="shared" si="3"/>
        <v>558730</v>
      </c>
      <c r="N16" s="240" t="str">
        <f t="shared" si="4"/>
        <v>بانک ملل</v>
      </c>
      <c r="O16" s="244">
        <v>0.30499999999999999</v>
      </c>
      <c r="P16" s="184">
        <v>256096432</v>
      </c>
      <c r="R16" s="241">
        <v>0.05</v>
      </c>
      <c r="S16" s="242">
        <f t="shared" ref="S16" si="5">P16*R16/O16</f>
        <v>41983021.639344268</v>
      </c>
      <c r="T16" s="243">
        <f t="shared" ref="T16" si="6">P16-S16</f>
        <v>214113410.36065573</v>
      </c>
      <c r="U16" s="171"/>
    </row>
    <row r="17" spans="1:30" s="84" customFormat="1" ht="22.5" thickBot="1">
      <c r="A17" s="362"/>
      <c r="B17" s="363"/>
      <c r="C17" s="247">
        <f t="shared" ref="C17:L17" si="7">SUM(C7:C16)</f>
        <v>32936008557</v>
      </c>
      <c r="D17" s="247">
        <f t="shared" si="7"/>
        <v>0</v>
      </c>
      <c r="E17" s="247">
        <f t="shared" si="7"/>
        <v>-167793670</v>
      </c>
      <c r="F17" s="247">
        <f t="shared" si="7"/>
        <v>0</v>
      </c>
      <c r="G17" s="247">
        <f t="shared" si="7"/>
        <v>32768214887</v>
      </c>
      <c r="H17" s="247">
        <f t="shared" si="7"/>
        <v>0</v>
      </c>
      <c r="I17" s="247">
        <f t="shared" si="7"/>
        <v>120724489760</v>
      </c>
      <c r="J17" s="247">
        <f t="shared" si="7"/>
        <v>0</v>
      </c>
      <c r="K17" s="247">
        <f t="shared" si="7"/>
        <v>-52541290</v>
      </c>
      <c r="L17" s="247">
        <f t="shared" si="7"/>
        <v>0</v>
      </c>
      <c r="M17" s="247">
        <f>SUM(M7:M16)</f>
        <v>120671948470</v>
      </c>
      <c r="N17" s="171"/>
      <c r="O17" s="62"/>
      <c r="P17" s="187"/>
      <c r="Q17" s="187"/>
      <c r="R17" s="187"/>
      <c r="S17" s="187"/>
      <c r="T17" s="187"/>
      <c r="U17" s="248"/>
      <c r="V17" s="84" t="s">
        <v>146</v>
      </c>
      <c r="W17" s="249">
        <v>-3247143</v>
      </c>
    </row>
    <row r="18" spans="1:30" ht="18.75" thickTop="1">
      <c r="A18" s="364"/>
      <c r="B18" s="364"/>
      <c r="W18" s="141"/>
    </row>
    <row r="19" spans="1:30" ht="18">
      <c r="I19" s="216"/>
      <c r="W19" s="141"/>
    </row>
    <row r="20" spans="1:30" ht="18">
      <c r="V20" s="141"/>
      <c r="W20" s="141"/>
    </row>
    <row r="21" spans="1:30" ht="18">
      <c r="M21" s="354"/>
      <c r="V21" s="141"/>
      <c r="W21" s="141"/>
      <c r="Y21" s="141"/>
    </row>
    <row r="22" spans="1:30" ht="18">
      <c r="M22" s="354"/>
      <c r="V22" s="141"/>
      <c r="W22" s="141"/>
      <c r="Y22" s="141"/>
      <c r="AA22" s="99"/>
    </row>
    <row r="23" spans="1:30" ht="18">
      <c r="W23" s="141"/>
      <c r="Y23" s="141"/>
      <c r="Z23" s="141"/>
    </row>
    <row r="24" spans="1:30" ht="18">
      <c r="W24" s="141">
        <f>SUM(W17:W23)</f>
        <v>-3247143</v>
      </c>
      <c r="Z24" s="141"/>
    </row>
    <row r="25" spans="1:30" ht="30.75" customHeight="1">
      <c r="X25" s="141"/>
      <c r="Y25" s="141"/>
      <c r="Z25" s="141"/>
    </row>
    <row r="26" spans="1:30" ht="30.75" customHeight="1">
      <c r="G26" s="113"/>
      <c r="X26" s="141"/>
      <c r="Y26" s="141"/>
      <c r="Z26" s="141"/>
      <c r="AD26" s="141"/>
    </row>
    <row r="27" spans="1:30" ht="30.75" customHeight="1">
      <c r="X27" s="141"/>
      <c r="Z27" s="141"/>
      <c r="AD27" s="141"/>
    </row>
    <row r="28" spans="1:30" ht="30.75" hidden="1" customHeight="1">
      <c r="Z28" s="141"/>
      <c r="AD28" s="141"/>
    </row>
    <row r="29" spans="1:30" ht="30.75" hidden="1" customHeight="1">
      <c r="Z29" s="141"/>
      <c r="AD29" s="141"/>
    </row>
    <row r="30" spans="1:30" ht="30.75" customHeight="1">
      <c r="Z30" s="141"/>
      <c r="AD30" s="141"/>
    </row>
    <row r="31" spans="1:30" ht="30.75" customHeight="1">
      <c r="Z31" s="141"/>
      <c r="AD31" s="141"/>
    </row>
    <row r="32" spans="1:30" ht="30.75" customHeight="1">
      <c r="Z32" s="141"/>
      <c r="AD32" s="141"/>
    </row>
    <row r="33" spans="26:30" ht="30.75" customHeight="1">
      <c r="Z33" s="141"/>
      <c r="AD33" s="141"/>
    </row>
    <row r="34" spans="26:30" ht="30.75" customHeight="1">
      <c r="Z34" s="141"/>
      <c r="AD34" s="141"/>
    </row>
    <row r="35" spans="26:30" ht="30.75" customHeight="1">
      <c r="Z35" s="141"/>
      <c r="AD35" s="141"/>
    </row>
    <row r="36" spans="26:30" ht="30.75" customHeight="1">
      <c r="AD36" s="141"/>
    </row>
    <row r="37" spans="26:30" ht="30.75" customHeight="1">
      <c r="AD37" s="141"/>
    </row>
  </sheetData>
  <autoFilter ref="A6:M17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pageSetUpPr fitToPage="1"/>
  </sheetPr>
  <dimension ref="A1:AC15"/>
  <sheetViews>
    <sheetView rightToLeft="1" view="pageBreakPreview" zoomScale="80" zoomScaleNormal="100" zoomScaleSheetLayoutView="80" workbookViewId="0">
      <selection activeCell="Z23" sqref="Z23"/>
    </sheetView>
  </sheetViews>
  <sheetFormatPr defaultColWidth="9.140625" defaultRowHeight="17.25"/>
  <cols>
    <col min="1" max="1" width="38.28515625" style="7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0" customWidth="1"/>
    <col min="6" max="6" width="0.5703125" style="70" customWidth="1"/>
    <col min="7" max="7" width="18.42578125" style="70" customWidth="1"/>
    <col min="8" max="8" width="0.85546875" style="70" customWidth="1"/>
    <col min="9" max="9" width="24.5703125" style="71" customWidth="1"/>
    <col min="10" max="10" width="0.5703125" style="71" customWidth="1"/>
    <col min="11" max="11" width="15.5703125" style="71" customWidth="1"/>
    <col min="12" max="12" width="0.42578125" style="71" customWidth="1"/>
    <col min="13" max="13" width="22.28515625" style="71" customWidth="1"/>
    <col min="14" max="14" width="0.42578125" style="71" customWidth="1"/>
    <col min="15" max="15" width="25.28515625" style="71" bestFit="1" customWidth="1"/>
    <col min="16" max="16" width="0.5703125" style="71" customWidth="1"/>
    <col min="17" max="17" width="26" style="71" bestFit="1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82" t="s">
        <v>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29" ht="22.5">
      <c r="A2" s="482" t="s">
        <v>48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29" ht="22.5">
      <c r="A3" s="482" t="str">
        <f>روکش!A21</f>
        <v>منتهی به 1405/01/31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</row>
    <row r="4" spans="1:29" ht="22.5">
      <c r="A4" s="491" t="s">
        <v>55</v>
      </c>
      <c r="B4" s="491"/>
      <c r="C4" s="491"/>
      <c r="D4" s="491"/>
      <c r="E4" s="491"/>
      <c r="F4" s="491"/>
      <c r="G4" s="491"/>
      <c r="H4" s="491"/>
      <c r="I4" s="491"/>
      <c r="J4" s="501"/>
      <c r="K4" s="501"/>
      <c r="L4" s="501"/>
      <c r="M4" s="501"/>
      <c r="N4" s="501"/>
      <c r="O4" s="501"/>
      <c r="P4" s="501"/>
      <c r="Q4" s="501"/>
    </row>
    <row r="5" spans="1:29" ht="21" customHeight="1" thickBot="1">
      <c r="A5" s="84"/>
      <c r="B5" s="84"/>
      <c r="C5" s="499" t="s">
        <v>188</v>
      </c>
      <c r="D5" s="499"/>
      <c r="E5" s="499"/>
      <c r="F5" s="499"/>
      <c r="G5" s="499"/>
      <c r="H5" s="499"/>
      <c r="I5" s="499"/>
      <c r="J5" s="12"/>
      <c r="K5" s="500" t="s">
        <v>189</v>
      </c>
      <c r="L5" s="500"/>
      <c r="M5" s="500"/>
      <c r="N5" s="500"/>
      <c r="O5" s="500"/>
      <c r="P5" s="500"/>
      <c r="Q5" s="500"/>
    </row>
    <row r="6" spans="1:29" ht="22.5" thickBot="1">
      <c r="A6" s="250" t="s">
        <v>30</v>
      </c>
      <c r="B6" s="250"/>
      <c r="C6" s="260" t="s">
        <v>3</v>
      </c>
      <c r="D6" s="254"/>
      <c r="E6" s="261" t="s">
        <v>37</v>
      </c>
      <c r="F6" s="262"/>
      <c r="G6" s="263" t="s">
        <v>34</v>
      </c>
      <c r="H6" s="262"/>
      <c r="I6" s="259" t="s">
        <v>38</v>
      </c>
      <c r="J6" s="264"/>
      <c r="K6" s="265" t="s">
        <v>3</v>
      </c>
      <c r="L6" s="266"/>
      <c r="M6" s="259" t="s">
        <v>37</v>
      </c>
      <c r="N6" s="266"/>
      <c r="O6" s="265" t="s">
        <v>34</v>
      </c>
      <c r="P6" s="266"/>
      <c r="Q6" s="267" t="s">
        <v>38</v>
      </c>
      <c r="T6" s="251"/>
    </row>
    <row r="7" spans="1:29" ht="31.5" customHeight="1">
      <c r="A7" s="252" t="s">
        <v>141</v>
      </c>
      <c r="B7" s="250"/>
      <c r="C7" s="130">
        <v>0</v>
      </c>
      <c r="D7" s="130"/>
      <c r="E7" s="130">
        <v>0</v>
      </c>
      <c r="F7" s="130"/>
      <c r="G7" s="130">
        <v>0</v>
      </c>
      <c r="H7" s="130"/>
      <c r="I7" s="130">
        <v>0</v>
      </c>
      <c r="J7" s="264"/>
      <c r="K7" s="130">
        <v>14398</v>
      </c>
      <c r="L7" s="130"/>
      <c r="M7" s="130">
        <v>24004791938</v>
      </c>
      <c r="N7" s="130"/>
      <c r="O7" s="130">
        <v>-23601302386</v>
      </c>
      <c r="P7" s="130"/>
      <c r="Q7" s="130">
        <v>403489552</v>
      </c>
      <c r="T7" s="251"/>
    </row>
    <row r="8" spans="1:29" ht="22.5" thickBot="1">
      <c r="C8" s="189"/>
      <c r="D8" s="189"/>
      <c r="E8" s="163">
        <f>SUM(E7)</f>
        <v>0</v>
      </c>
      <c r="F8" s="189"/>
      <c r="G8" s="163">
        <f>SUM(G7)</f>
        <v>0</v>
      </c>
      <c r="H8" s="189"/>
      <c r="I8" s="163">
        <f>SUM(I7)</f>
        <v>0</v>
      </c>
      <c r="J8" s="189"/>
      <c r="K8" s="189"/>
      <c r="L8" s="189"/>
      <c r="M8" s="163">
        <f>SUM(M7:M7)</f>
        <v>24004791938</v>
      </c>
      <c r="N8" s="189"/>
      <c r="O8" s="163">
        <f>SUM(O7:O7)</f>
        <v>-23601302386</v>
      </c>
      <c r="P8" s="189"/>
      <c r="Q8" s="163">
        <f>SUM(Q7:Q7)</f>
        <v>403489552</v>
      </c>
      <c r="R8" s="113" t="s">
        <v>122</v>
      </c>
      <c r="S8" s="113">
        <v>380000</v>
      </c>
      <c r="T8" s="113">
        <v>409299670616</v>
      </c>
      <c r="U8" s="7">
        <v>-78000000</v>
      </c>
      <c r="V8" s="113">
        <f>T8-U8</f>
        <v>409377670616</v>
      </c>
      <c r="AC8" s="252"/>
    </row>
    <row r="9" spans="1:29" ht="20.25" customHeight="1" thickTop="1">
      <c r="A9" s="84"/>
      <c r="B9" s="84"/>
      <c r="C9" s="84"/>
      <c r="D9" s="84"/>
      <c r="E9" s="63"/>
      <c r="F9" s="63"/>
      <c r="G9" s="63"/>
      <c r="H9" s="63"/>
      <c r="I9" s="12"/>
      <c r="J9" s="12"/>
      <c r="K9" s="12"/>
      <c r="L9" s="12"/>
      <c r="M9" s="12"/>
      <c r="N9" s="12"/>
      <c r="O9" s="12"/>
      <c r="P9" s="12"/>
      <c r="Q9" s="12"/>
      <c r="R9" s="113"/>
      <c r="S9" s="113">
        <f>SUM(S8:S8)</f>
        <v>380000</v>
      </c>
      <c r="T9" s="113">
        <f>SUM(T8:T8)</f>
        <v>409299670616</v>
      </c>
      <c r="U9" s="113">
        <f>SUM(U8:U8)</f>
        <v>-78000000</v>
      </c>
      <c r="V9" s="113">
        <f>SUM(V8:V8)</f>
        <v>409377670616</v>
      </c>
    </row>
    <row r="10" spans="1:29" ht="21.75">
      <c r="A10" s="496" t="s">
        <v>36</v>
      </c>
      <c r="B10" s="497"/>
      <c r="C10" s="497"/>
      <c r="D10" s="497"/>
      <c r="E10" s="497"/>
      <c r="F10" s="497"/>
      <c r="G10" s="497"/>
      <c r="H10" s="497"/>
      <c r="I10" s="497"/>
      <c r="J10" s="497"/>
      <c r="K10" s="497"/>
      <c r="L10" s="497"/>
      <c r="M10" s="497"/>
      <c r="N10" s="497"/>
      <c r="O10" s="497"/>
      <c r="P10" s="497"/>
      <c r="Q10" s="498"/>
      <c r="R10" s="113"/>
    </row>
    <row r="11" spans="1:29" hidden="1"/>
    <row r="12" spans="1:29" hidden="1">
      <c r="K12" s="71">
        <v>245000</v>
      </c>
      <c r="M12" s="71">
        <v>245000000000</v>
      </c>
      <c r="Q12" s="71">
        <v>5638702098</v>
      </c>
    </row>
    <row r="13" spans="1:29" hidden="1">
      <c r="K13" s="71" t="e">
        <f>K12-#REF!</f>
        <v>#REF!</v>
      </c>
      <c r="M13" s="71">
        <f>M12-M8</f>
        <v>220995208062</v>
      </c>
      <c r="Q13" s="71">
        <f>Q12-Q8</f>
        <v>5235212546</v>
      </c>
    </row>
    <row r="14" spans="1:29" hidden="1"/>
    <row r="15" spans="1:29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0:Q10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pageSetUpPr fitToPage="1"/>
  </sheetPr>
  <dimension ref="A1:Q29"/>
  <sheetViews>
    <sheetView rightToLeft="1" view="pageBreakPreview" zoomScale="90" zoomScaleNormal="100" zoomScaleSheetLayoutView="90" workbookViewId="0">
      <selection activeCell="Q19" sqref="Q19"/>
    </sheetView>
  </sheetViews>
  <sheetFormatPr defaultColWidth="9.140625" defaultRowHeight="21.75"/>
  <cols>
    <col min="1" max="1" width="44" style="7" bestFit="1" customWidth="1"/>
    <col min="2" max="2" width="0.5703125" style="7" customWidth="1"/>
    <col min="3" max="3" width="14.5703125" style="12" bestFit="1" customWidth="1"/>
    <col min="4" max="4" width="0.85546875" style="12" customWidth="1"/>
    <col min="5" max="5" width="28" style="12" customWidth="1"/>
    <col min="6" max="6" width="0.85546875" style="12" customWidth="1"/>
    <col min="7" max="7" width="26.28515625" style="12" bestFit="1" customWidth="1"/>
    <col min="8" max="8" width="0.7109375" style="12" customWidth="1"/>
    <col min="9" max="9" width="28.5703125" style="12" customWidth="1"/>
    <col min="10" max="10" width="1.42578125" style="12" customWidth="1"/>
    <col min="11" max="11" width="14.5703125" style="12" bestFit="1" customWidth="1"/>
    <col min="12" max="12" width="1.140625" style="12" customWidth="1"/>
    <col min="13" max="13" width="26.140625" style="12" customWidth="1"/>
    <col min="14" max="14" width="1" style="12" customWidth="1"/>
    <col min="15" max="15" width="26.28515625" style="12" bestFit="1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82" t="s">
        <v>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2.5">
      <c r="A2" s="482" t="s">
        <v>48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</row>
    <row r="3" spans="1:17" ht="22.5">
      <c r="A3" s="482" t="str">
        <f>روکش!A21</f>
        <v>منتهی به 1405/01/31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</row>
    <row r="4" spans="1:17">
      <c r="A4" s="442" t="s">
        <v>54</v>
      </c>
      <c r="B4" s="442"/>
      <c r="C4" s="442"/>
      <c r="D4" s="442"/>
      <c r="E4" s="442"/>
      <c r="F4" s="442"/>
      <c r="G4" s="442"/>
      <c r="H4" s="442"/>
    </row>
    <row r="5" spans="1:17" s="253" customFormat="1" ht="16.5" customHeight="1" thickBot="1">
      <c r="A5" s="104"/>
      <c r="B5" s="104"/>
      <c r="C5" s="505" t="s">
        <v>188</v>
      </c>
      <c r="D5" s="505"/>
      <c r="E5" s="505"/>
      <c r="F5" s="505"/>
      <c r="G5" s="505"/>
      <c r="H5" s="505"/>
      <c r="I5" s="505"/>
      <c r="J5" s="69"/>
      <c r="K5" s="500" t="s">
        <v>189</v>
      </c>
      <c r="L5" s="500"/>
      <c r="M5" s="500"/>
      <c r="N5" s="500"/>
      <c r="O5" s="500"/>
      <c r="P5" s="500"/>
      <c r="Q5" s="500"/>
    </row>
    <row r="6" spans="1:17" s="253" customFormat="1" ht="27" customHeight="1" thickBot="1">
      <c r="A6" s="104" t="s">
        <v>30</v>
      </c>
      <c r="B6" s="104"/>
      <c r="C6" s="75" t="s">
        <v>3</v>
      </c>
      <c r="D6" s="69"/>
      <c r="E6" s="76" t="s">
        <v>17</v>
      </c>
      <c r="F6" s="69"/>
      <c r="G6" s="75" t="s">
        <v>34</v>
      </c>
      <c r="H6" s="69"/>
      <c r="I6" s="76" t="s">
        <v>35</v>
      </c>
      <c r="J6" s="69"/>
      <c r="K6" s="75" t="s">
        <v>3</v>
      </c>
      <c r="L6" s="69"/>
      <c r="M6" s="76" t="s">
        <v>17</v>
      </c>
      <c r="N6" s="69"/>
      <c r="O6" s="76" t="s">
        <v>34</v>
      </c>
      <c r="P6" s="69"/>
      <c r="Q6" s="259" t="s">
        <v>35</v>
      </c>
    </row>
    <row r="7" spans="1:17" s="253" customFormat="1" ht="27" customHeight="1">
      <c r="A7" s="109" t="s">
        <v>141</v>
      </c>
      <c r="B7" s="104"/>
      <c r="C7" s="137">
        <f>_xlfn.XLOOKUP(A7,صندوق!$A$9:$A$14,صندوق!$O$9:$O$14,0)</f>
        <v>49000</v>
      </c>
      <c r="D7" s="137"/>
      <c r="E7" s="137">
        <f>_xlfn.XLOOKUP(A7,صندوق!$A$9:$A$14,صندوق!$U$9:$U$14,0)</f>
        <v>86652629000</v>
      </c>
      <c r="F7" s="137"/>
      <c r="G7" s="137">
        <v>-86974363000</v>
      </c>
      <c r="H7" s="137"/>
      <c r="I7" s="137">
        <f>E7+G7</f>
        <v>-321734000</v>
      </c>
      <c r="J7" s="137"/>
      <c r="K7" s="137">
        <f>_xlfn.XLOOKUP(A7,صندوق!$A$9:$A$14,صندوق!$O$9:$O$14,0)</f>
        <v>49000</v>
      </c>
      <c r="L7" s="137"/>
      <c r="M7" s="137">
        <f>_xlfn.XLOOKUP(A7,صندوق!$A$9:$A$14,صندوق!$U$9:$U$14,0)</f>
        <v>86652629000</v>
      </c>
      <c r="N7" s="137"/>
      <c r="O7" s="137">
        <v>-80321143000</v>
      </c>
      <c r="P7" s="69"/>
      <c r="Q7" s="137">
        <f>M7+O7</f>
        <v>6331486000</v>
      </c>
    </row>
    <row r="8" spans="1:17" s="253" customFormat="1" ht="27" customHeight="1">
      <c r="A8" s="109" t="s">
        <v>138</v>
      </c>
      <c r="B8" s="104"/>
      <c r="C8" s="137">
        <f>_xlfn.XLOOKUP(A8,صندوق!$A$9:$A$14,صندوق!$O$9:$O$14,0)</f>
        <v>2642533</v>
      </c>
      <c r="D8" s="137"/>
      <c r="E8" s="137">
        <f>_xlfn.XLOOKUP(A8,صندوق!$A$9:$A$14,صندوق!$U$9:$U$14,0)</f>
        <v>80721455551</v>
      </c>
      <c r="F8" s="137"/>
      <c r="G8" s="137">
        <v>-79291845198</v>
      </c>
      <c r="H8" s="137"/>
      <c r="I8" s="137">
        <f t="shared" ref="I8:I18" si="0">E8+G8</f>
        <v>1429610353</v>
      </c>
      <c r="J8" s="137"/>
      <c r="K8" s="137">
        <f>_xlfn.XLOOKUP(A8,صندوق!$A$9:$A$14,صندوق!$O$9:$O$14,0)</f>
        <v>2642533</v>
      </c>
      <c r="L8" s="137"/>
      <c r="M8" s="137">
        <f>_xlfn.XLOOKUP(A8,صندوق!$A$9:$A$14,صندوق!$U$9:$U$14,0)</f>
        <v>80721455551</v>
      </c>
      <c r="N8" s="137"/>
      <c r="O8" s="137">
        <v>-74798455659</v>
      </c>
      <c r="P8" s="69"/>
      <c r="Q8" s="137">
        <f t="shared" ref="Q8:Q18" si="1">M8+O8</f>
        <v>5922999892</v>
      </c>
    </row>
    <row r="9" spans="1:17" s="253" customFormat="1" ht="27" customHeight="1">
      <c r="A9" s="109" t="s">
        <v>168</v>
      </c>
      <c r="B9" s="104"/>
      <c r="C9" s="137">
        <f>_xlfn.XLOOKUP(A9,صندوق!$A$9:$A$14,صندوق!$O$9:$O$14,0)</f>
        <v>6128379</v>
      </c>
      <c r="D9" s="137"/>
      <c r="E9" s="137">
        <f>_xlfn.XLOOKUP(A9,صندوق!$A$9:$A$14,صندوق!$U$9:$U$14,0)</f>
        <v>80751076164</v>
      </c>
      <c r="F9" s="137"/>
      <c r="G9" s="137">
        <v>-79797010121</v>
      </c>
      <c r="H9" s="137"/>
      <c r="I9" s="137">
        <f t="shared" si="0"/>
        <v>954066043</v>
      </c>
      <c r="J9" s="137"/>
      <c r="K9" s="137">
        <f>_xlfn.XLOOKUP(A9,صندوق!$A$9:$A$14,صندوق!$O$9:$O$14,0)</f>
        <v>6128379</v>
      </c>
      <c r="L9" s="137"/>
      <c r="M9" s="137">
        <f>_xlfn.XLOOKUP(A9,صندوق!$A$9:$A$14,صندوق!$U$9:$U$14,0)</f>
        <v>80751076164</v>
      </c>
      <c r="N9" s="137"/>
      <c r="O9" s="137">
        <v>-74823340292</v>
      </c>
      <c r="P9" s="69"/>
      <c r="Q9" s="137">
        <f t="shared" si="1"/>
        <v>5927735872</v>
      </c>
    </row>
    <row r="10" spans="1:17" s="253" customFormat="1" ht="27" customHeight="1">
      <c r="A10" s="109" t="s">
        <v>147</v>
      </c>
      <c r="B10" s="104"/>
      <c r="C10" s="137">
        <f>_xlfn.XLOOKUP(A10,صندوق!$A$9:$A$14,صندوق!$O$9:$O$14,0)</f>
        <v>4899171</v>
      </c>
      <c r="D10" s="137"/>
      <c r="E10" s="137">
        <f>_xlfn.XLOOKUP(A10,صندوق!$A$9:$A$14,صندوق!$U$9:$U$14,0)</f>
        <v>99129826014</v>
      </c>
      <c r="F10" s="137"/>
      <c r="G10" s="137">
        <v>-97375922796</v>
      </c>
      <c r="H10" s="137"/>
      <c r="I10" s="137">
        <f t="shared" si="0"/>
        <v>1753903218</v>
      </c>
      <c r="J10" s="137"/>
      <c r="K10" s="137">
        <f>_xlfn.XLOOKUP(A10,صندوق!$A$9:$A$14,صندوق!$O$9:$O$14,0)</f>
        <v>4899171</v>
      </c>
      <c r="L10" s="137"/>
      <c r="M10" s="137">
        <f>_xlfn.XLOOKUP(A10,صندوق!$A$9:$A$14,صندوق!$U$9:$U$14,0)</f>
        <v>99129826014</v>
      </c>
      <c r="N10" s="137"/>
      <c r="O10" s="137">
        <v>-91842505118</v>
      </c>
      <c r="P10" s="69"/>
      <c r="Q10" s="137">
        <f t="shared" si="1"/>
        <v>7287320896</v>
      </c>
    </row>
    <row r="11" spans="1:17" s="253" customFormat="1" ht="27" customHeight="1">
      <c r="A11" s="109" t="s">
        <v>169</v>
      </c>
      <c r="B11" s="104"/>
      <c r="C11" s="137">
        <f>_xlfn.XLOOKUP(A11,صندوق!$A$9:$A$14,صندوق!$O$9:$O$14,0)</f>
        <v>3698906</v>
      </c>
      <c r="D11" s="137"/>
      <c r="E11" s="137">
        <f>_xlfn.XLOOKUP(A11,صندوق!$A$9:$A$14,صندوق!$U$9:$U$14,0)</f>
        <v>80395721910</v>
      </c>
      <c r="F11" s="137"/>
      <c r="G11" s="137">
        <v>-79012331066</v>
      </c>
      <c r="H11" s="137"/>
      <c r="I11" s="137">
        <f t="shared" si="0"/>
        <v>1383390844</v>
      </c>
      <c r="J11" s="137"/>
      <c r="K11" s="137">
        <f>_xlfn.XLOOKUP(A11,صندوق!$A$9:$A$14,صندوق!$O$9:$O$14,0)</f>
        <v>3698906</v>
      </c>
      <c r="L11" s="137"/>
      <c r="M11" s="137">
        <f>_xlfn.XLOOKUP(A11,صندوق!$A$9:$A$14,صندوق!$U$9:$U$14,0)</f>
        <v>80395721910</v>
      </c>
      <c r="N11" s="137"/>
      <c r="O11" s="137">
        <v>-74645439631</v>
      </c>
      <c r="P11" s="69"/>
      <c r="Q11" s="137">
        <f t="shared" si="1"/>
        <v>5750282279</v>
      </c>
    </row>
    <row r="12" spans="1:17" s="253" customFormat="1" ht="27" customHeight="1">
      <c r="A12" s="109" t="s">
        <v>170</v>
      </c>
      <c r="B12" s="104"/>
      <c r="C12" s="137">
        <f>_xlfn.XLOOKUP(A12,صندوق!$A$9:$A$14,صندوق!$O$9:$O$14,0)</f>
        <v>3268231</v>
      </c>
      <c r="D12" s="137"/>
      <c r="E12" s="137">
        <f>_xlfn.XLOOKUP(A12,صندوق!$A$9:$A$14,صندوق!$U$9:$U$14,0)</f>
        <v>80362303283</v>
      </c>
      <c r="F12" s="137"/>
      <c r="G12" s="137">
        <v>-79504261916</v>
      </c>
      <c r="H12" s="137"/>
      <c r="I12" s="137">
        <f t="shared" si="0"/>
        <v>858041367</v>
      </c>
      <c r="J12" s="137"/>
      <c r="K12" s="137">
        <f>_xlfn.XLOOKUP(A12,صندوق!$A$9:$A$14,صندوق!$O$9:$O$14,0)</f>
        <v>3268231</v>
      </c>
      <c r="L12" s="137"/>
      <c r="M12" s="137">
        <f>_xlfn.XLOOKUP(A12,صندوق!$A$9:$A$14,صندوق!$U$9:$U$14,0)</f>
        <v>80362303283</v>
      </c>
      <c r="N12" s="137"/>
      <c r="O12" s="137">
        <v>-74640676636</v>
      </c>
      <c r="P12" s="69"/>
      <c r="Q12" s="137">
        <f t="shared" si="1"/>
        <v>5721626647</v>
      </c>
    </row>
    <row r="13" spans="1:17" s="253" customFormat="1" ht="27" customHeight="1">
      <c r="A13" s="109" t="s">
        <v>134</v>
      </c>
      <c r="B13" s="104"/>
      <c r="C13" s="137">
        <f>_xlfn.XLOOKUP(A13,اوراق!$A$9:$A$14,اوراق!$Y$9:$Y$14,0)</f>
        <v>120000</v>
      </c>
      <c r="D13" s="137"/>
      <c r="E13" s="137">
        <f>_xlfn.XLOOKUP(A13,اوراق!$A$9:$A$14,اوراق!$AE$9:$AE$14,0)</f>
        <v>86692915083</v>
      </c>
      <c r="F13" s="137"/>
      <c r="G13" s="137">
        <v>-88631780250</v>
      </c>
      <c r="H13" s="137"/>
      <c r="I13" s="137">
        <f t="shared" si="0"/>
        <v>-1938865167</v>
      </c>
      <c r="J13" s="137"/>
      <c r="K13" s="137">
        <v>120000</v>
      </c>
      <c r="L13" s="137"/>
      <c r="M13" s="137">
        <f>_xlfn.XLOOKUP(A13,اوراق!$A$9:$A$14,اوراق!$AE$9:$AE$14,0)</f>
        <v>86692915083</v>
      </c>
      <c r="N13" s="137"/>
      <c r="O13" s="137">
        <v>-88631780250</v>
      </c>
      <c r="P13" s="69"/>
      <c r="Q13" s="137">
        <f t="shared" si="1"/>
        <v>-1938865167</v>
      </c>
    </row>
    <row r="14" spans="1:17" s="253" customFormat="1" ht="27" customHeight="1">
      <c r="A14" s="109" t="s">
        <v>87</v>
      </c>
      <c r="B14" s="104"/>
      <c r="C14" s="137">
        <f>_xlfn.XLOOKUP(A14,اوراق!$A$9:$A$14,اوراق!$Y$9:$Y$14,0)</f>
        <v>320000</v>
      </c>
      <c r="D14" s="137"/>
      <c r="E14" s="137">
        <f>_xlfn.XLOOKUP(A14,اوراق!$A$9:$A$14,اوراق!$AE$9:$AE$14,0)</f>
        <v>319826000000</v>
      </c>
      <c r="F14" s="137"/>
      <c r="G14" s="137">
        <v>-319826000000</v>
      </c>
      <c r="H14" s="137"/>
      <c r="I14" s="137">
        <f t="shared" si="0"/>
        <v>0</v>
      </c>
      <c r="J14" s="137"/>
      <c r="K14" s="137">
        <f>_xlfn.XLOOKUP(A14,اوراق!$A$9:$A$14,اوراق!$Y$9:$Y$14,0)</f>
        <v>320000</v>
      </c>
      <c r="L14" s="137"/>
      <c r="M14" s="137">
        <f>_xlfn.XLOOKUP(A14,اوراق!$A$9:$A$14,اوراق!$AE$9:$AE$14,0)</f>
        <v>319826000000</v>
      </c>
      <c r="N14" s="137"/>
      <c r="O14" s="137">
        <v>-319826000000</v>
      </c>
      <c r="P14" s="83"/>
      <c r="Q14" s="137">
        <f t="shared" si="1"/>
        <v>0</v>
      </c>
    </row>
    <row r="15" spans="1:17" s="253" customFormat="1" ht="27" customHeight="1">
      <c r="A15" s="109" t="s">
        <v>159</v>
      </c>
      <c r="B15" s="104"/>
      <c r="C15" s="137">
        <f>_xlfn.XLOOKUP(A15,اوراق!$A$9:$A$14,اوراق!$Y$9:$Y$14,0)</f>
        <v>100000</v>
      </c>
      <c r="D15" s="137"/>
      <c r="E15" s="137">
        <f>_xlfn.XLOOKUP(A15,اوراق!$A$9:$A$14,اوراق!$AE$9:$AE$14,0)</f>
        <v>88182824503</v>
      </c>
      <c r="F15" s="137"/>
      <c r="G15" s="137">
        <v>-89152197121</v>
      </c>
      <c r="H15" s="137"/>
      <c r="I15" s="137">
        <f t="shared" si="0"/>
        <v>-969372618</v>
      </c>
      <c r="J15" s="137"/>
      <c r="K15" s="137">
        <f>_xlfn.XLOOKUP(A15,اوراق!$A$9:$A$14,اوراق!$Y$9:$Y$14,0)</f>
        <v>100000</v>
      </c>
      <c r="L15" s="137"/>
      <c r="M15" s="137">
        <f>_xlfn.XLOOKUP(A15,اوراق!$A$9:$A$14,اوراق!$AE$9:$AE$14,0)</f>
        <v>88182824503</v>
      </c>
      <c r="N15" s="137"/>
      <c r="O15" s="137">
        <v>-91086544747</v>
      </c>
      <c r="P15" s="83"/>
      <c r="Q15" s="137">
        <f t="shared" si="1"/>
        <v>-2903720244</v>
      </c>
    </row>
    <row r="16" spans="1:17" s="253" customFormat="1" ht="27" customHeight="1">
      <c r="A16" s="109" t="s">
        <v>135</v>
      </c>
      <c r="B16" s="104"/>
      <c r="C16" s="137">
        <f>_xlfn.XLOOKUP(A16,اوراق!$A$9:$A$14,اوراق!$Y$9:$Y$14,0)</f>
        <v>320000</v>
      </c>
      <c r="D16" s="137"/>
      <c r="E16" s="137">
        <f>_xlfn.XLOOKUP(A16,اوراق!$A$9:$A$14,اوراق!$AE$9:$AE$14,0)</f>
        <v>304133417485</v>
      </c>
      <c r="F16" s="137"/>
      <c r="G16" s="137">
        <v>-291091233030</v>
      </c>
      <c r="H16" s="137"/>
      <c r="I16" s="137">
        <f t="shared" si="0"/>
        <v>13042184455</v>
      </c>
      <c r="J16" s="137"/>
      <c r="K16" s="137">
        <f>_xlfn.XLOOKUP(A16,اوراق!$A$9:$A$14,اوراق!$Y$9:$Y$14,0)</f>
        <v>320000</v>
      </c>
      <c r="L16" s="137"/>
      <c r="M16" s="137">
        <f>_xlfn.XLOOKUP(A16,اوراق!$A$9:$A$14,اوراق!$AE$9:$AE$14,0)</f>
        <v>304133417485</v>
      </c>
      <c r="N16" s="137"/>
      <c r="O16" s="137">
        <v>-278341689367</v>
      </c>
      <c r="P16" s="83"/>
      <c r="Q16" s="137">
        <f t="shared" si="1"/>
        <v>25791728118</v>
      </c>
    </row>
    <row r="17" spans="1:17" s="253" customFormat="1" ht="27" customHeight="1">
      <c r="A17" s="109" t="s">
        <v>123</v>
      </c>
      <c r="B17" s="104"/>
      <c r="C17" s="137">
        <f>_xlfn.XLOOKUP(A17,اوراق!$A$9:$A$14,اوراق!$Y$9:$Y$14,0)</f>
        <v>200000</v>
      </c>
      <c r="D17" s="137"/>
      <c r="E17" s="137">
        <f>_xlfn.XLOOKUP(A17,اوراق!$A$9:$A$14,اوراق!$AE$9:$AE$14,0)</f>
        <v>199891250000</v>
      </c>
      <c r="F17" s="137"/>
      <c r="G17" s="137">
        <v>-199891250000</v>
      </c>
      <c r="H17" s="137"/>
      <c r="I17" s="137">
        <f t="shared" si="0"/>
        <v>0</v>
      </c>
      <c r="J17" s="137"/>
      <c r="K17" s="137">
        <f>_xlfn.XLOOKUP(A17,اوراق!$A$9:$A$14,اوراق!$Y$9:$Y$14,0)</f>
        <v>200000</v>
      </c>
      <c r="L17" s="137"/>
      <c r="M17" s="137">
        <f>_xlfn.XLOOKUP(A17,اوراق!$A$9:$A$14,اوراق!$AE$9:$AE$14,0)</f>
        <v>199891250000</v>
      </c>
      <c r="N17" s="137"/>
      <c r="O17" s="137">
        <v>-199891250000</v>
      </c>
      <c r="P17" s="83"/>
      <c r="Q17" s="137">
        <f t="shared" si="1"/>
        <v>0</v>
      </c>
    </row>
    <row r="18" spans="1:17" s="253" customFormat="1" ht="27" customHeight="1">
      <c r="A18" s="109" t="s">
        <v>165</v>
      </c>
      <c r="B18" s="104"/>
      <c r="C18" s="137">
        <f>_xlfn.XLOOKUP(A18,اوراق!$A$9:$A$14,اوراق!$Y$9:$Y$14,0)</f>
        <v>530000</v>
      </c>
      <c r="D18" s="137"/>
      <c r="E18" s="137">
        <f>_xlfn.XLOOKUP(A18,اوراق!$A$9:$A$14,اوراق!$AE$9:$AE$14,0)</f>
        <v>509460929910</v>
      </c>
      <c r="F18" s="137"/>
      <c r="G18" s="137">
        <v>-509460929910</v>
      </c>
      <c r="H18" s="137"/>
      <c r="I18" s="137">
        <f t="shared" si="0"/>
        <v>0</v>
      </c>
      <c r="J18" s="137"/>
      <c r="K18" s="137">
        <f>_xlfn.XLOOKUP(A18,اوراق!$A$9:$A$14,اوراق!$Y$9:$Y$14,0)</f>
        <v>530000</v>
      </c>
      <c r="L18" s="137"/>
      <c r="M18" s="137">
        <f>_xlfn.XLOOKUP(A18,اوراق!$A$9:$A$14,اوراق!$AE$9:$AE$14,0)</f>
        <v>509460929910</v>
      </c>
      <c r="N18" s="137"/>
      <c r="O18" s="137">
        <v>-505186155582</v>
      </c>
      <c r="P18" s="83"/>
      <c r="Q18" s="137">
        <f t="shared" si="1"/>
        <v>4274774328</v>
      </c>
    </row>
    <row r="19" spans="1:17" s="253" customFormat="1" ht="25.5" customHeight="1" thickBot="1">
      <c r="A19" s="254"/>
      <c r="B19" s="104"/>
      <c r="C19" s="180"/>
      <c r="D19" s="180"/>
      <c r="E19" s="255">
        <f>SUM(E7:E18)</f>
        <v>2016200348903</v>
      </c>
      <c r="F19" s="180"/>
      <c r="G19" s="255">
        <f>SUM(G7:G18)</f>
        <v>-2000009124408</v>
      </c>
      <c r="H19" s="180"/>
      <c r="I19" s="255">
        <f>SUM(I7:I18)</f>
        <v>16191224495</v>
      </c>
      <c r="J19" s="180"/>
      <c r="K19" s="180"/>
      <c r="L19" s="180"/>
      <c r="M19" s="255">
        <f>SUM(M7:M18)</f>
        <v>2016200348903</v>
      </c>
      <c r="N19" s="180"/>
      <c r="O19" s="255">
        <f>SUM(O7:O18)</f>
        <v>-1954034980282</v>
      </c>
      <c r="P19" s="180"/>
      <c r="Q19" s="255">
        <f>SUM(Q7:Q18)</f>
        <v>62165368621</v>
      </c>
    </row>
    <row r="20" spans="1:17" s="253" customFormat="1" ht="22.5" thickTop="1">
      <c r="A20" s="104"/>
      <c r="B20" s="104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s="253" customFormat="1" ht="24.75" customHeight="1">
      <c r="A21" s="502" t="s">
        <v>36</v>
      </c>
      <c r="B21" s="503"/>
      <c r="C21" s="503"/>
      <c r="D21" s="503"/>
      <c r="E21" s="503"/>
      <c r="F21" s="503"/>
      <c r="G21" s="503"/>
      <c r="H21" s="503"/>
      <c r="I21" s="503"/>
      <c r="J21" s="503"/>
      <c r="K21" s="503"/>
      <c r="L21" s="503"/>
      <c r="M21" s="503"/>
      <c r="N21" s="503"/>
      <c r="O21" s="503"/>
      <c r="P21" s="503"/>
      <c r="Q21" s="504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-841294513002</v>
      </c>
      <c r="I23" s="12">
        <v>6606085937</v>
      </c>
      <c r="M23" s="12">
        <f>M22-M19</f>
        <v>-841294513002</v>
      </c>
      <c r="Q23" s="12">
        <f>Q22-Q19</f>
        <v>-53933734111</v>
      </c>
    </row>
    <row r="24" spans="1:17" hidden="1">
      <c r="I24" s="12">
        <f>I23-I19</f>
        <v>-9585138558</v>
      </c>
    </row>
    <row r="25" spans="1:17" hidden="1"/>
    <row r="28" spans="1:17">
      <c r="M28" s="351"/>
      <c r="N28" s="12">
        <v>0</v>
      </c>
    </row>
    <row r="29" spans="1:17">
      <c r="M29" s="351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N54"/>
  <sheetViews>
    <sheetView rightToLeft="1" view="pageBreakPreview" zoomScaleNormal="100" zoomScaleSheetLayoutView="100" workbookViewId="0">
      <selection activeCell="A7" sqref="A7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10.28515625" bestFit="1" customWidth="1"/>
    <col min="8" max="8" width="0.7109375" customWidth="1"/>
    <col min="9" max="9" width="19.28515625" bestFit="1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0.42578125" customWidth="1"/>
    <col min="17" max="17" width="17.85546875" customWidth="1"/>
  </cols>
  <sheetData>
    <row r="1" spans="1:23" s="340" customFormat="1" ht="21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147"/>
      <c r="Q1" s="147"/>
      <c r="R1" s="147"/>
      <c r="S1" s="147"/>
      <c r="T1" s="147"/>
      <c r="U1" s="147"/>
      <c r="V1" s="147"/>
      <c r="W1" s="147"/>
    </row>
    <row r="2" spans="1:23" s="340" customFormat="1" ht="21">
      <c r="A2" s="452" t="s">
        <v>42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147"/>
      <c r="Q2" s="147"/>
      <c r="R2" s="147"/>
      <c r="S2" s="147"/>
      <c r="T2" s="147"/>
      <c r="U2" s="147"/>
      <c r="V2" s="147"/>
      <c r="W2" s="147"/>
    </row>
    <row r="3" spans="1:23" s="340" customFormat="1" ht="21">
      <c r="A3" s="452" t="str">
        <f>سپرده!A3</f>
        <v>منتهی به 1405/01/31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147"/>
      <c r="Q3" s="147"/>
      <c r="R3" s="147"/>
      <c r="S3" s="147"/>
      <c r="T3" s="147"/>
      <c r="U3" s="147"/>
      <c r="V3" s="147"/>
      <c r="W3" s="147"/>
    </row>
    <row r="4" spans="1:23" s="340" customFormat="1" ht="11.25" customHeight="1"/>
    <row r="5" spans="1:23" s="340" customFormat="1" ht="18.75">
      <c r="A5" s="442" t="s">
        <v>92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</row>
    <row r="6" spans="1:23" s="341" customFormat="1" ht="23.25" customHeight="1">
      <c r="A6" s="507" t="s">
        <v>188</v>
      </c>
      <c r="B6" s="507"/>
      <c r="C6" s="507"/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</row>
    <row r="7" spans="1:23" s="340" customFormat="1" ht="36">
      <c r="A7" s="342" t="s">
        <v>93</v>
      </c>
      <c r="B7" s="306"/>
      <c r="C7" s="342" t="s">
        <v>94</v>
      </c>
      <c r="D7" s="306"/>
      <c r="E7" s="342" t="s">
        <v>95</v>
      </c>
      <c r="F7" s="306"/>
      <c r="G7" s="342" t="s">
        <v>96</v>
      </c>
      <c r="H7" s="306"/>
      <c r="I7" s="342" t="s">
        <v>97</v>
      </c>
      <c r="J7" s="306"/>
      <c r="K7" s="342" t="s">
        <v>98</v>
      </c>
      <c r="L7" s="306"/>
      <c r="M7" s="342" t="s">
        <v>99</v>
      </c>
      <c r="N7" s="306"/>
    </row>
    <row r="8" spans="1:23" s="340" customFormat="1" ht="31.5" customHeight="1">
      <c r="A8" s="343" t="s">
        <v>119</v>
      </c>
      <c r="B8" s="343"/>
      <c r="C8" s="306" t="s">
        <v>164</v>
      </c>
      <c r="D8" s="306"/>
      <c r="E8" s="306" t="s">
        <v>120</v>
      </c>
      <c r="F8" s="306"/>
      <c r="G8" s="376">
        <v>320000</v>
      </c>
      <c r="H8" s="376"/>
      <c r="I8" s="348">
        <v>320000000000</v>
      </c>
      <c r="J8" s="348"/>
      <c r="K8" s="348">
        <v>3098652064</v>
      </c>
      <c r="L8" s="344"/>
      <c r="M8" s="345">
        <v>0.23</v>
      </c>
      <c r="N8" s="345"/>
    </row>
    <row r="9" spans="1:23" s="340" customFormat="1" ht="27" customHeight="1">
      <c r="A9" s="343" t="s">
        <v>119</v>
      </c>
      <c r="B9" s="343"/>
      <c r="C9" s="306" t="s">
        <v>164</v>
      </c>
      <c r="D9" s="306"/>
      <c r="E9" s="306" t="s">
        <v>125</v>
      </c>
      <c r="F9" s="306"/>
      <c r="G9" s="376">
        <v>200000</v>
      </c>
      <c r="H9" s="376"/>
      <c r="I9" s="348">
        <v>211031593750</v>
      </c>
      <c r="J9" s="348"/>
      <c r="K9" s="348">
        <v>2002410944</v>
      </c>
      <c r="L9" s="344"/>
      <c r="M9" s="345">
        <v>0.26</v>
      </c>
      <c r="N9" s="345"/>
      <c r="Q9" s="346"/>
    </row>
    <row r="10" spans="1:23" s="340" customFormat="1" ht="14.25" customHeight="1">
      <c r="A10" s="343"/>
      <c r="B10" s="343"/>
      <c r="C10" s="306"/>
      <c r="D10" s="306"/>
      <c r="E10" s="306"/>
      <c r="F10" s="306"/>
      <c r="G10" s="204"/>
      <c r="H10" s="204"/>
      <c r="I10" s="344"/>
      <c r="J10" s="344"/>
      <c r="K10" s="344"/>
      <c r="L10" s="344"/>
      <c r="M10" s="345"/>
      <c r="N10" s="345"/>
    </row>
    <row r="11" spans="1:23" s="340" customFormat="1" ht="15.75" customHeight="1">
      <c r="A11" s="506" t="s">
        <v>115</v>
      </c>
      <c r="B11" s="506"/>
      <c r="C11" s="506"/>
      <c r="D11" s="506"/>
      <c r="E11" s="506"/>
      <c r="F11" s="506"/>
      <c r="G11" s="506"/>
      <c r="H11" s="506"/>
      <c r="I11" s="506"/>
      <c r="J11" s="506"/>
      <c r="K11" s="506"/>
      <c r="L11" s="273"/>
    </row>
    <row r="12" spans="1:23">
      <c r="K12" s="181"/>
      <c r="L12" s="181"/>
    </row>
    <row r="13" spans="1:23">
      <c r="K13" s="349"/>
    </row>
    <row r="14" spans="1:23">
      <c r="K14" s="349"/>
    </row>
    <row r="15" spans="1:23">
      <c r="K15" s="94"/>
    </row>
    <row r="18" spans="1:11">
      <c r="K18" s="94"/>
    </row>
    <row r="21" spans="1:11">
      <c r="A21" t="s">
        <v>116</v>
      </c>
    </row>
    <row r="54" spans="40:40">
      <c r="AN54" t="s">
        <v>117</v>
      </c>
    </row>
  </sheetData>
  <mergeCells count="6">
    <mergeCell ref="A11:K11"/>
    <mergeCell ref="A1:O1"/>
    <mergeCell ref="A2:O2"/>
    <mergeCell ref="A5:W5"/>
    <mergeCell ref="A3:O3"/>
    <mergeCell ref="A6:N6"/>
  </mergeCells>
  <printOptions horizontalCentered="1"/>
  <pageMargins left="0.7" right="0.7" top="0.75" bottom="0.75" header="0.3" footer="0.3"/>
  <pageSetup scale="87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6"/>
  <sheetViews>
    <sheetView rightToLeft="1" view="pageBreakPreview" zoomScale="70" zoomScaleNormal="100" zoomScaleSheetLayoutView="70" workbookViewId="0">
      <selection activeCell="W10" sqref="W10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94" t="s">
        <v>75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</row>
    <row r="2" spans="1:23" ht="31.5">
      <c r="A2" s="394" t="s">
        <v>42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</row>
    <row r="3" spans="1:23" ht="31.5">
      <c r="A3" s="394" t="str">
        <f>روکش!A21</f>
        <v>منتهی به 1405/01/31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</row>
    <row r="4" spans="1:23" ht="24.75" customHeight="1">
      <c r="A4" s="401" t="s">
        <v>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</row>
    <row r="5" spans="1:23" ht="31.5">
      <c r="A5" s="401" t="s">
        <v>22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1"/>
      <c r="Q5" s="401"/>
      <c r="R5" s="401"/>
      <c r="S5" s="401"/>
      <c r="T5" s="401"/>
      <c r="U5" s="401"/>
      <c r="V5" s="401"/>
      <c r="W5" s="401"/>
    </row>
    <row r="7" spans="1:23" ht="36.75" customHeight="1" thickBot="1">
      <c r="A7" s="1"/>
      <c r="B7" s="2"/>
      <c r="C7" s="386" t="str">
        <f>اوراق!M6</f>
        <v>1404/12/29</v>
      </c>
      <c r="D7" s="386"/>
      <c r="E7" s="386"/>
      <c r="F7" s="386"/>
      <c r="G7" s="386"/>
      <c r="H7" s="3"/>
      <c r="I7" s="402" t="s">
        <v>7</v>
      </c>
      <c r="J7" s="402"/>
      <c r="K7" s="402"/>
      <c r="L7" s="402"/>
      <c r="M7" s="402"/>
      <c r="O7" s="387" t="str">
        <f>اوراق!Y6</f>
        <v xml:space="preserve"> 1405/01/31</v>
      </c>
      <c r="P7" s="387"/>
      <c r="Q7" s="387"/>
      <c r="R7" s="387"/>
      <c r="S7" s="387"/>
      <c r="T7" s="387"/>
      <c r="U7" s="387"/>
      <c r="V7" s="387"/>
      <c r="W7" s="387"/>
    </row>
    <row r="8" spans="1:23" ht="29.25" customHeight="1">
      <c r="A8" s="395" t="s">
        <v>1</v>
      </c>
      <c r="B8" s="4"/>
      <c r="C8" s="400" t="s">
        <v>3</v>
      </c>
      <c r="D8" s="388"/>
      <c r="E8" s="400" t="s">
        <v>0</v>
      </c>
      <c r="F8" s="388"/>
      <c r="G8" s="390" t="s">
        <v>17</v>
      </c>
      <c r="H8" s="23"/>
      <c r="I8" s="397" t="s">
        <v>4</v>
      </c>
      <c r="J8" s="397"/>
      <c r="K8" s="25"/>
      <c r="L8" s="397" t="s">
        <v>5</v>
      </c>
      <c r="M8" s="397"/>
      <c r="O8" s="398" t="s">
        <v>3</v>
      </c>
      <c r="P8" s="388"/>
      <c r="Q8" s="390" t="s">
        <v>26</v>
      </c>
      <c r="R8" s="22"/>
      <c r="S8" s="398" t="s">
        <v>0</v>
      </c>
      <c r="T8" s="388"/>
      <c r="U8" s="390" t="s">
        <v>17</v>
      </c>
      <c r="V8" s="5"/>
      <c r="W8" s="392" t="s">
        <v>18</v>
      </c>
    </row>
    <row r="9" spans="1:23" ht="29.25" customHeight="1" thickBot="1">
      <c r="A9" s="396"/>
      <c r="B9" s="4"/>
      <c r="C9" s="399"/>
      <c r="D9" s="389"/>
      <c r="E9" s="399"/>
      <c r="F9" s="389"/>
      <c r="G9" s="391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99"/>
      <c r="P9" s="388"/>
      <c r="Q9" s="391"/>
      <c r="R9" s="22"/>
      <c r="S9" s="399"/>
      <c r="T9" s="388"/>
      <c r="U9" s="391"/>
      <c r="V9" s="5"/>
      <c r="W9" s="393"/>
    </row>
    <row r="10" spans="1:23" ht="40.15" customHeight="1" thickBot="1">
      <c r="A10" s="142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U10/درآمدها!$J$7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  <mergeCell ref="C7:G7"/>
    <mergeCell ref="O7:W7"/>
    <mergeCell ref="F8:F9"/>
    <mergeCell ref="G8:G9"/>
    <mergeCell ref="U8:U9"/>
    <mergeCell ref="Q8:Q9"/>
    <mergeCell ref="W8:W9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26"/>
  <sheetViews>
    <sheetView rightToLeft="1" view="pageBreakPreview" zoomScale="70" zoomScaleNormal="50" zoomScaleSheetLayoutView="70" workbookViewId="0">
      <selection sqref="A1:AG3"/>
    </sheetView>
  </sheetViews>
  <sheetFormatPr defaultColWidth="9.140625" defaultRowHeight="15.75"/>
  <cols>
    <col min="1" max="1" width="59.7109375" style="85" customWidth="1"/>
    <col min="2" max="2" width="0.5703125" style="85" hidden="1" customWidth="1"/>
    <col min="3" max="3" width="15.42578125" style="85" customWidth="1"/>
    <col min="4" max="4" width="0.5703125" style="85" customWidth="1"/>
    <col min="5" max="5" width="23" style="85" customWidth="1"/>
    <col min="6" max="6" width="0.5703125" style="85" customWidth="1"/>
    <col min="7" max="7" width="19.7109375" style="85" customWidth="1"/>
    <col min="8" max="8" width="0.5703125" style="85" customWidth="1"/>
    <col min="9" max="9" width="19.7109375" style="85" customWidth="1"/>
    <col min="10" max="10" width="0.42578125" style="85" customWidth="1"/>
    <col min="11" max="11" width="14.42578125" style="85" customWidth="1"/>
    <col min="12" max="12" width="0.7109375" style="85" customWidth="1"/>
    <col min="13" max="13" width="15.85546875" style="85" customWidth="1"/>
    <col min="14" max="14" width="1.140625" style="85" customWidth="1"/>
    <col min="15" max="15" width="32.7109375" style="85" bestFit="1" customWidth="1"/>
    <col min="16" max="16" width="0.5703125" style="85" customWidth="1"/>
    <col min="17" max="17" width="32.7109375" style="85" bestFit="1" customWidth="1"/>
    <col min="18" max="18" width="0.5703125" style="85" customWidth="1"/>
    <col min="19" max="19" width="7" style="85" bestFit="1" customWidth="1"/>
    <col min="20" max="20" width="17.5703125" style="85" bestFit="1" customWidth="1"/>
    <col min="21" max="21" width="0.5703125" style="85" customWidth="1"/>
    <col min="22" max="22" width="7" style="85" bestFit="1" customWidth="1"/>
    <col min="23" max="23" width="12.28515625" style="85" bestFit="1" customWidth="1"/>
    <col min="24" max="24" width="0.5703125" style="85" customWidth="1"/>
    <col min="25" max="25" width="17" style="85" customWidth="1"/>
    <col min="26" max="26" width="0.42578125" style="85" customWidth="1"/>
    <col min="27" max="27" width="19.7109375" style="85" customWidth="1"/>
    <col min="28" max="28" width="0.7109375" style="85" customWidth="1"/>
    <col min="29" max="29" width="37.42578125" style="85" bestFit="1" customWidth="1"/>
    <col min="30" max="30" width="0.5703125" style="85" customWidth="1"/>
    <col min="31" max="31" width="34" style="85" bestFit="1" customWidth="1"/>
    <col min="32" max="32" width="0.7109375" style="85" customWidth="1"/>
    <col min="33" max="33" width="16.5703125" style="85" customWidth="1"/>
    <col min="34" max="34" width="24.85546875" style="85" bestFit="1" customWidth="1"/>
    <col min="35" max="16384" width="9.140625" style="85"/>
  </cols>
  <sheetData>
    <row r="1" spans="1:34" s="84" customFormat="1" ht="24.75">
      <c r="A1" s="414" t="s">
        <v>75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</row>
    <row r="2" spans="1:34" s="84" customFormat="1" ht="24.75">
      <c r="A2" s="414" t="s">
        <v>42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</row>
    <row r="3" spans="1:34" s="84" customFormat="1" ht="24.75">
      <c r="A3" s="414" t="str">
        <f>روکش!A21</f>
        <v>منتهی به 1405/01/31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</row>
    <row r="4" spans="1:34" ht="27.75">
      <c r="A4" s="415" t="s">
        <v>56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</row>
    <row r="5" spans="1:34" ht="24.7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62"/>
      <c r="AB5" s="86"/>
      <c r="AC5" s="86"/>
      <c r="AD5" s="86"/>
      <c r="AE5" s="86"/>
      <c r="AF5" s="86"/>
      <c r="AG5" s="86"/>
    </row>
    <row r="6" spans="1:34" ht="27.75" customHeight="1" thickBot="1">
      <c r="A6" s="417" t="s">
        <v>57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275"/>
      <c r="M6" s="410" t="s">
        <v>184</v>
      </c>
      <c r="N6" s="410"/>
      <c r="O6" s="410"/>
      <c r="P6" s="410"/>
      <c r="Q6" s="410"/>
      <c r="R6" s="87"/>
      <c r="S6" s="416" t="s">
        <v>7</v>
      </c>
      <c r="T6" s="416"/>
      <c r="U6" s="416"/>
      <c r="V6" s="416"/>
      <c r="W6" s="416"/>
      <c r="X6" s="86"/>
      <c r="Y6" s="410" t="s">
        <v>186</v>
      </c>
      <c r="Z6" s="410"/>
      <c r="AA6" s="410"/>
      <c r="AB6" s="410"/>
      <c r="AC6" s="410"/>
      <c r="AD6" s="410"/>
      <c r="AE6" s="410"/>
      <c r="AF6" s="410"/>
      <c r="AG6" s="410"/>
    </row>
    <row r="7" spans="1:34" ht="26.25" customHeight="1">
      <c r="A7" s="409" t="s">
        <v>58</v>
      </c>
      <c r="B7" s="88"/>
      <c r="C7" s="411" t="s">
        <v>59</v>
      </c>
      <c r="D7" s="307"/>
      <c r="E7" s="413" t="s">
        <v>64</v>
      </c>
      <c r="F7" s="307"/>
      <c r="G7" s="403" t="s">
        <v>60</v>
      </c>
      <c r="H7" s="307"/>
      <c r="I7" s="411" t="s">
        <v>19</v>
      </c>
      <c r="J7" s="307"/>
      <c r="K7" s="413" t="s">
        <v>61</v>
      </c>
      <c r="L7" s="319"/>
      <c r="M7" s="407" t="s">
        <v>3</v>
      </c>
      <c r="N7" s="403"/>
      <c r="O7" s="403" t="s">
        <v>0</v>
      </c>
      <c r="P7" s="403"/>
      <c r="Q7" s="403" t="s">
        <v>17</v>
      </c>
      <c r="R7" s="307"/>
      <c r="S7" s="406" t="s">
        <v>4</v>
      </c>
      <c r="T7" s="406"/>
      <c r="U7" s="131"/>
      <c r="V7" s="406" t="s">
        <v>5</v>
      </c>
      <c r="W7" s="406"/>
      <c r="X7" s="131"/>
      <c r="Y7" s="407" t="s">
        <v>3</v>
      </c>
      <c r="Z7" s="405"/>
      <c r="AA7" s="403" t="s">
        <v>62</v>
      </c>
      <c r="AB7" s="307"/>
      <c r="AC7" s="403" t="s">
        <v>0</v>
      </c>
      <c r="AD7" s="405"/>
      <c r="AE7" s="403" t="s">
        <v>17</v>
      </c>
      <c r="AF7" s="282"/>
      <c r="AG7" s="403" t="s">
        <v>18</v>
      </c>
      <c r="AH7" s="164"/>
    </row>
    <row r="8" spans="1:34" s="89" customFormat="1" ht="36" customHeight="1" thickBot="1">
      <c r="A8" s="410"/>
      <c r="B8" s="88"/>
      <c r="C8" s="412"/>
      <c r="D8" s="307"/>
      <c r="E8" s="412"/>
      <c r="F8" s="307"/>
      <c r="G8" s="404"/>
      <c r="H8" s="307"/>
      <c r="I8" s="412"/>
      <c r="J8" s="307"/>
      <c r="K8" s="412"/>
      <c r="L8" s="118"/>
      <c r="M8" s="408"/>
      <c r="N8" s="405"/>
      <c r="O8" s="404"/>
      <c r="P8" s="405"/>
      <c r="Q8" s="404"/>
      <c r="R8" s="307"/>
      <c r="S8" s="257" t="s">
        <v>3</v>
      </c>
      <c r="T8" s="257" t="s">
        <v>0</v>
      </c>
      <c r="U8" s="19"/>
      <c r="V8" s="257" t="s">
        <v>3</v>
      </c>
      <c r="W8" s="257" t="s">
        <v>41</v>
      </c>
      <c r="X8" s="19"/>
      <c r="Y8" s="408"/>
      <c r="Z8" s="405"/>
      <c r="AA8" s="404"/>
      <c r="AB8" s="307"/>
      <c r="AC8" s="404"/>
      <c r="AD8" s="405"/>
      <c r="AE8" s="404"/>
      <c r="AF8" s="282"/>
      <c r="AG8" s="404"/>
      <c r="AH8" s="165"/>
    </row>
    <row r="9" spans="1:34" s="89" customFormat="1" ht="27">
      <c r="A9" s="203" t="s">
        <v>134</v>
      </c>
      <c r="B9" s="157"/>
      <c r="C9" s="246" t="s">
        <v>78</v>
      </c>
      <c r="D9" s="246"/>
      <c r="E9" s="246" t="s">
        <v>78</v>
      </c>
      <c r="F9" s="118"/>
      <c r="G9" s="200" t="s">
        <v>177</v>
      </c>
      <c r="H9" s="200"/>
      <c r="I9" s="200" t="s">
        <v>136</v>
      </c>
      <c r="J9" s="200"/>
      <c r="K9" s="289">
        <v>0.20499999999999999</v>
      </c>
      <c r="L9" s="200"/>
      <c r="M9" s="290">
        <v>120000</v>
      </c>
      <c r="N9" s="200"/>
      <c r="O9" s="201">
        <v>96015500000</v>
      </c>
      <c r="P9" s="201"/>
      <c r="Q9" s="201">
        <v>88631780250</v>
      </c>
      <c r="R9" s="200"/>
      <c r="S9" s="201">
        <v>0</v>
      </c>
      <c r="T9" s="201">
        <v>0</v>
      </c>
      <c r="U9" s="200"/>
      <c r="V9" s="201">
        <v>0</v>
      </c>
      <c r="W9" s="201">
        <v>0</v>
      </c>
      <c r="X9" s="200"/>
      <c r="Y9" s="201">
        <v>120000</v>
      </c>
      <c r="Z9" s="201"/>
      <c r="AA9" s="201">
        <v>739000</v>
      </c>
      <c r="AB9" s="200"/>
      <c r="AC9" s="201">
        <v>96015500000</v>
      </c>
      <c r="AD9" s="200"/>
      <c r="AE9" s="292">
        <v>86692915083</v>
      </c>
      <c r="AF9" s="200"/>
      <c r="AG9" s="293">
        <f>AE9/درآمدها!$J$7</f>
        <v>2.6718638268112507E-2</v>
      </c>
      <c r="AH9" s="165"/>
    </row>
    <row r="10" spans="1:34" s="89" customFormat="1" ht="27">
      <c r="A10" s="203" t="s">
        <v>87</v>
      </c>
      <c r="B10" s="157"/>
      <c r="C10" s="246" t="s">
        <v>78</v>
      </c>
      <c r="D10" s="246"/>
      <c r="E10" s="246" t="s">
        <v>78</v>
      </c>
      <c r="F10" s="118"/>
      <c r="G10" s="200" t="s">
        <v>178</v>
      </c>
      <c r="H10" s="200"/>
      <c r="I10" s="200" t="s">
        <v>88</v>
      </c>
      <c r="J10" s="200"/>
      <c r="K10" s="289">
        <v>0.23</v>
      </c>
      <c r="L10" s="200"/>
      <c r="M10" s="290">
        <v>320000</v>
      </c>
      <c r="N10" s="200"/>
      <c r="O10" s="201">
        <v>320000000000</v>
      </c>
      <c r="P10" s="201"/>
      <c r="Q10" s="201">
        <v>319826000000</v>
      </c>
      <c r="R10" s="200"/>
      <c r="S10" s="201">
        <v>0</v>
      </c>
      <c r="T10" s="201">
        <v>0</v>
      </c>
      <c r="U10" s="200"/>
      <c r="V10" s="201">
        <v>0</v>
      </c>
      <c r="W10" s="201">
        <v>0</v>
      </c>
      <c r="X10" s="200"/>
      <c r="Y10" s="201">
        <v>320000</v>
      </c>
      <c r="Z10" s="201"/>
      <c r="AA10" s="201">
        <v>1000000</v>
      </c>
      <c r="AB10" s="200"/>
      <c r="AC10" s="201">
        <v>320000000000</v>
      </c>
      <c r="AD10" s="200"/>
      <c r="AE10" s="292">
        <v>319826000000</v>
      </c>
      <c r="AF10" s="200"/>
      <c r="AG10" s="293">
        <f>AE10/درآمدها!$J$7</f>
        <v>9.8569937284448753E-2</v>
      </c>
      <c r="AH10" s="165"/>
    </row>
    <row r="11" spans="1:34" s="89" customFormat="1" ht="27">
      <c r="A11" s="203" t="s">
        <v>159</v>
      </c>
      <c r="B11" s="157"/>
      <c r="C11" s="246" t="s">
        <v>78</v>
      </c>
      <c r="D11" s="246"/>
      <c r="E11" s="246" t="s">
        <v>78</v>
      </c>
      <c r="F11" s="118"/>
      <c r="G11" s="200" t="s">
        <v>179</v>
      </c>
      <c r="H11" s="200"/>
      <c r="I11" s="200" t="s">
        <v>160</v>
      </c>
      <c r="J11" s="200"/>
      <c r="K11" s="289">
        <v>0.23</v>
      </c>
      <c r="L11" s="200"/>
      <c r="M11" s="290">
        <v>100000</v>
      </c>
      <c r="N11" s="200"/>
      <c r="O11" s="201">
        <v>90255320000</v>
      </c>
      <c r="P11" s="201"/>
      <c r="Q11" s="201">
        <v>89152197121</v>
      </c>
      <c r="R11" s="200"/>
      <c r="S11" s="201">
        <v>0</v>
      </c>
      <c r="T11" s="201">
        <v>0</v>
      </c>
      <c r="U11" s="200"/>
      <c r="V11" s="201">
        <v>0</v>
      </c>
      <c r="W11" s="201">
        <v>0</v>
      </c>
      <c r="X11" s="200"/>
      <c r="Y11" s="201">
        <v>100000</v>
      </c>
      <c r="Z11" s="201"/>
      <c r="AA11" s="201">
        <v>892007</v>
      </c>
      <c r="AB11" s="200"/>
      <c r="AC11" s="201">
        <v>90255320000</v>
      </c>
      <c r="AD11" s="200"/>
      <c r="AE11" s="292">
        <v>88182824503</v>
      </c>
      <c r="AF11" s="200"/>
      <c r="AG11" s="293">
        <f>AE11/درآمدها!$J$7</f>
        <v>2.7177826320643913E-2</v>
      </c>
      <c r="AH11" s="165"/>
    </row>
    <row r="12" spans="1:34" s="89" customFormat="1" ht="27">
      <c r="A12" s="203" t="s">
        <v>135</v>
      </c>
      <c r="B12" s="157"/>
      <c r="C12" s="246" t="s">
        <v>78</v>
      </c>
      <c r="D12" s="246"/>
      <c r="E12" s="246" t="s">
        <v>78</v>
      </c>
      <c r="F12" s="118"/>
      <c r="G12" s="200" t="s">
        <v>179</v>
      </c>
      <c r="H12" s="200"/>
      <c r="I12" s="200" t="s">
        <v>137</v>
      </c>
      <c r="J12" s="200"/>
      <c r="K12" s="289">
        <v>0.23</v>
      </c>
      <c r="L12" s="200"/>
      <c r="M12" s="290">
        <v>320000</v>
      </c>
      <c r="N12" s="200"/>
      <c r="O12" s="201">
        <v>295347345800</v>
      </c>
      <c r="P12" s="201"/>
      <c r="Q12" s="201">
        <v>291091233030</v>
      </c>
      <c r="R12" s="200"/>
      <c r="S12" s="201">
        <v>0</v>
      </c>
      <c r="T12" s="201">
        <v>0</v>
      </c>
      <c r="U12" s="200"/>
      <c r="V12" s="201">
        <v>0</v>
      </c>
      <c r="W12" s="201">
        <v>0</v>
      </c>
      <c r="X12" s="200"/>
      <c r="Y12" s="201">
        <v>320000</v>
      </c>
      <c r="Z12" s="201"/>
      <c r="AA12" s="201">
        <v>910155</v>
      </c>
      <c r="AB12" s="200"/>
      <c r="AC12" s="201">
        <v>295347345800</v>
      </c>
      <c r="AD12" s="200"/>
      <c r="AE12" s="292">
        <v>304133417485</v>
      </c>
      <c r="AF12" s="200"/>
      <c r="AG12" s="293">
        <f>AE12/درآمدها!$J$7</f>
        <v>9.3733504741958185E-2</v>
      </c>
      <c r="AH12" s="165"/>
    </row>
    <row r="13" spans="1:34" s="89" customFormat="1" ht="27">
      <c r="A13" s="203" t="s">
        <v>123</v>
      </c>
      <c r="B13" s="157"/>
      <c r="C13" s="246" t="s">
        <v>78</v>
      </c>
      <c r="D13" s="246"/>
      <c r="E13" s="246" t="s">
        <v>78</v>
      </c>
      <c r="F13" s="118"/>
      <c r="G13" s="200" t="s">
        <v>180</v>
      </c>
      <c r="H13" s="200"/>
      <c r="I13" s="200" t="s">
        <v>124</v>
      </c>
      <c r="J13" s="200"/>
      <c r="K13" s="289">
        <v>0.26</v>
      </c>
      <c r="L13" s="200"/>
      <c r="M13" s="290">
        <v>200000</v>
      </c>
      <c r="N13" s="200"/>
      <c r="O13" s="201">
        <v>211031593750</v>
      </c>
      <c r="P13" s="201"/>
      <c r="Q13" s="201">
        <v>199891250000</v>
      </c>
      <c r="R13" s="200"/>
      <c r="S13" s="201">
        <v>0</v>
      </c>
      <c r="T13" s="201">
        <v>0</v>
      </c>
      <c r="U13" s="200"/>
      <c r="V13" s="201">
        <v>0</v>
      </c>
      <c r="W13" s="201">
        <v>0</v>
      </c>
      <c r="X13" s="200"/>
      <c r="Y13" s="201">
        <v>200000</v>
      </c>
      <c r="Z13" s="201"/>
      <c r="AA13" s="201">
        <v>1000000</v>
      </c>
      <c r="AB13" s="200"/>
      <c r="AC13" s="201">
        <v>211031593750</v>
      </c>
      <c r="AD13" s="200"/>
      <c r="AE13" s="292">
        <v>199891250000</v>
      </c>
      <c r="AF13" s="200"/>
      <c r="AG13" s="293">
        <f>AE13/درآمدها!$J$7</f>
        <v>6.1606210802780469E-2</v>
      </c>
      <c r="AH13" s="165"/>
    </row>
    <row r="14" spans="1:34" s="89" customFormat="1" ht="25.5" customHeight="1" thickBot="1">
      <c r="A14" s="203" t="s">
        <v>165</v>
      </c>
      <c r="B14" s="157"/>
      <c r="C14" s="246" t="s">
        <v>78</v>
      </c>
      <c r="D14" s="246"/>
      <c r="E14" s="246" t="s">
        <v>78</v>
      </c>
      <c r="F14" s="118"/>
      <c r="G14" s="200" t="s">
        <v>181</v>
      </c>
      <c r="H14" s="200"/>
      <c r="I14" s="200" t="s">
        <v>166</v>
      </c>
      <c r="J14" s="200"/>
      <c r="K14" s="289">
        <v>0.23</v>
      </c>
      <c r="L14" s="200"/>
      <c r="M14" s="290">
        <v>530000</v>
      </c>
      <c r="N14" s="200"/>
      <c r="O14" s="201">
        <v>497222256625</v>
      </c>
      <c r="P14" s="201"/>
      <c r="Q14" s="201">
        <v>509460929910</v>
      </c>
      <c r="R14" s="200"/>
      <c r="S14" s="201">
        <v>0</v>
      </c>
      <c r="T14" s="201">
        <v>0</v>
      </c>
      <c r="U14" s="200"/>
      <c r="V14" s="201">
        <v>0</v>
      </c>
      <c r="W14" s="201">
        <v>0</v>
      </c>
      <c r="X14" s="200"/>
      <c r="Y14" s="201">
        <v>530000</v>
      </c>
      <c r="Z14" s="201"/>
      <c r="AA14" s="201">
        <v>961770</v>
      </c>
      <c r="AB14" s="200"/>
      <c r="AC14" s="201">
        <v>497222256625</v>
      </c>
      <c r="AD14" s="200"/>
      <c r="AE14" s="292">
        <v>509460929910</v>
      </c>
      <c r="AF14" s="200"/>
      <c r="AG14" s="293">
        <f>AE14/درآمدها!$J$7</f>
        <v>0.15701516421462183</v>
      </c>
      <c r="AH14" s="165"/>
    </row>
    <row r="15" spans="1:34" s="221" customFormat="1" ht="28.5" customHeight="1" thickBot="1">
      <c r="A15" s="356" t="s">
        <v>2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91"/>
      <c r="L15" s="219"/>
      <c r="M15" s="220"/>
      <c r="N15" s="202"/>
      <c r="O15" s="320">
        <f>SUM(O9:O14)</f>
        <v>1509872016175</v>
      </c>
      <c r="P15" s="321"/>
      <c r="Q15" s="320">
        <f>SUM(Q9:Q14)</f>
        <v>1498053390311</v>
      </c>
      <c r="R15" s="321"/>
      <c r="S15" s="322"/>
      <c r="T15" s="320">
        <f>SUM(T9:T14)</f>
        <v>0</v>
      </c>
      <c r="U15" s="321"/>
      <c r="V15" s="322"/>
      <c r="W15" s="320">
        <f>SUM(W9:W14)</f>
        <v>0</v>
      </c>
      <c r="X15" s="321"/>
      <c r="Y15" s="322"/>
      <c r="Z15" s="321"/>
      <c r="AA15" s="323"/>
      <c r="AB15" s="321"/>
      <c r="AC15" s="320">
        <f>SUM(AC9:AD14)</f>
        <v>1509872016175</v>
      </c>
      <c r="AD15" s="321"/>
      <c r="AE15" s="320">
        <f>SUM(AE9:AE14)</f>
        <v>1508187336981</v>
      </c>
      <c r="AF15" s="200"/>
      <c r="AG15" s="324">
        <f>SUM(AG9:AG14)</f>
        <v>0.46482128163256564</v>
      </c>
      <c r="AH15" s="165"/>
    </row>
    <row r="16" spans="1:34" s="90" customFormat="1" ht="33" thickTop="1" thickBot="1">
      <c r="M16" s="85"/>
      <c r="N16" s="85"/>
      <c r="P16" s="85"/>
      <c r="R16" s="85"/>
      <c r="S16" s="85"/>
      <c r="U16" s="85"/>
      <c r="V16" s="85"/>
      <c r="X16" s="85"/>
      <c r="Y16" s="85"/>
      <c r="Z16" s="85"/>
      <c r="AA16" s="85"/>
      <c r="AB16" s="85"/>
      <c r="AD16" s="85"/>
      <c r="AF16" s="200"/>
      <c r="AG16" s="272"/>
      <c r="AH16" s="165"/>
    </row>
    <row r="17" spans="13:34" s="212" customFormat="1" ht="30.75" customHeight="1" thickTop="1">
      <c r="AG17" s="90"/>
      <c r="AH17" s="165"/>
    </row>
    <row r="18" spans="13:34" ht="33.6" customHeight="1">
      <c r="M18" s="139"/>
      <c r="O18" s="140"/>
      <c r="Q18" s="139"/>
      <c r="S18" s="139"/>
      <c r="T18" s="140"/>
      <c r="V18" s="139"/>
      <c r="W18" s="140"/>
      <c r="Y18" s="139"/>
      <c r="AA18" s="139"/>
      <c r="AC18" s="182"/>
      <c r="AE18" s="139"/>
      <c r="AG18" s="212"/>
      <c r="AH18" s="165"/>
    </row>
    <row r="19" spans="13:34" ht="27.75">
      <c r="M19" s="140"/>
      <c r="O19" s="140"/>
      <c r="Q19" s="140"/>
      <c r="S19" s="140"/>
      <c r="V19" s="140"/>
      <c r="Y19" s="140"/>
      <c r="AA19" s="139"/>
      <c r="AC19" s="317"/>
      <c r="AE19" s="352"/>
      <c r="AH19" s="165"/>
    </row>
    <row r="20" spans="13:34" ht="22.5">
      <c r="T20" s="139"/>
      <c r="Y20" s="140"/>
      <c r="AA20" s="140"/>
      <c r="AC20" s="318"/>
      <c r="AD20" s="140"/>
      <c r="AE20" s="140"/>
      <c r="AH20" s="165"/>
    </row>
    <row r="21" spans="13:34" ht="22.5">
      <c r="T21" s="351"/>
      <c r="AC21" s="140"/>
      <c r="AH21" s="165"/>
    </row>
    <row r="22" spans="13:34" ht="46.5" customHeight="1">
      <c r="T22" s="139"/>
    </row>
    <row r="23" spans="13:34" ht="33.75" customHeight="1">
      <c r="AE23" s="268"/>
    </row>
    <row r="24" spans="13:34" ht="33.75" customHeight="1">
      <c r="AC24" s="139"/>
      <c r="AE24" s="268"/>
    </row>
    <row r="25" spans="13:34" ht="46.5" customHeight="1">
      <c r="AC25" s="140"/>
      <c r="AE25" s="268"/>
    </row>
    <row r="26" spans="13:34">
      <c r="AE26" s="140"/>
    </row>
  </sheetData>
  <mergeCells count="28">
    <mergeCell ref="A1:AG1"/>
    <mergeCell ref="A2:AG2"/>
    <mergeCell ref="A3:AG3"/>
    <mergeCell ref="A4:AG4"/>
    <mergeCell ref="M6:Q6"/>
    <mergeCell ref="S6:W6"/>
    <mergeCell ref="Y6:AG6"/>
    <mergeCell ref="A6:K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G7:AG8"/>
    <mergeCell ref="AD7:AD8"/>
    <mergeCell ref="AE7:AE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G33"/>
  <sheetViews>
    <sheetView rightToLeft="1" view="pageBreakPreview" zoomScale="85" zoomScaleNormal="56" zoomScaleSheetLayoutView="85" workbookViewId="0">
      <selection activeCell="I21" sqref="I21"/>
    </sheetView>
  </sheetViews>
  <sheetFormatPr defaultRowHeight="15"/>
  <cols>
    <col min="1" max="1" width="53.28515625" bestFit="1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2" customWidth="1"/>
    <col min="16" max="16" width="16.7109375" bestFit="1" customWidth="1"/>
    <col min="17" max="17" width="28.85546875" hidden="1" customWidth="1"/>
  </cols>
  <sheetData>
    <row r="1" spans="1:33" s="84" customFormat="1" ht="24.75">
      <c r="A1" s="424" t="s">
        <v>75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91"/>
      <c r="O1" s="78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s="84" customFormat="1" ht="24.75">
      <c r="A2" s="424" t="s">
        <v>42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91"/>
      <c r="O2" s="78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s="84" customFormat="1" ht="24.75">
      <c r="A3" s="424" t="str">
        <f>روکش!A21</f>
        <v>منتهی به 1405/01/31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91"/>
      <c r="O3" s="7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5" spans="1:33" s="92" customFormat="1" ht="22.5">
      <c r="A5" s="422" t="s">
        <v>85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79"/>
      <c r="O5" s="80"/>
      <c r="P5" s="81"/>
    </row>
    <row r="6" spans="1:33" s="92" customFormat="1" ht="22.5">
      <c r="A6" s="422" t="s">
        <v>86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79"/>
      <c r="O6" s="80"/>
      <c r="P6" s="81"/>
    </row>
    <row r="7" spans="1:33" s="92" customFormat="1" ht="33.75" customHeight="1" thickBot="1">
      <c r="A7" s="326"/>
      <c r="B7" s="327"/>
      <c r="C7" s="327"/>
      <c r="D7" s="327"/>
      <c r="E7" s="420" t="s">
        <v>187</v>
      </c>
      <c r="F7" s="421"/>
      <c r="G7" s="421"/>
      <c r="H7" s="421"/>
      <c r="I7" s="421"/>
      <c r="J7" s="421"/>
      <c r="K7" s="421"/>
      <c r="L7" s="327"/>
      <c r="M7" s="327"/>
    </row>
    <row r="8" spans="1:33" ht="36.75" customHeight="1">
      <c r="A8" s="325" t="s">
        <v>79</v>
      </c>
      <c r="B8" s="92"/>
      <c r="C8" s="303" t="s">
        <v>80</v>
      </c>
      <c r="D8" s="92"/>
      <c r="E8" s="303" t="s">
        <v>121</v>
      </c>
      <c r="F8" s="92"/>
      <c r="G8" s="303" t="s">
        <v>81</v>
      </c>
      <c r="H8" s="92"/>
      <c r="I8" s="303" t="s">
        <v>82</v>
      </c>
      <c r="J8" s="92"/>
      <c r="K8" s="303" t="s">
        <v>83</v>
      </c>
      <c r="L8" s="92"/>
      <c r="M8" s="303" t="s">
        <v>84</v>
      </c>
      <c r="N8" s="92"/>
      <c r="O8" s="92"/>
      <c r="P8" s="92"/>
      <c r="Q8" s="92"/>
    </row>
    <row r="9" spans="1:33" ht="25.5" customHeight="1">
      <c r="A9" s="375" t="s">
        <v>123</v>
      </c>
      <c r="B9" s="167"/>
      <c r="C9" s="167">
        <v>200000</v>
      </c>
      <c r="D9" s="167"/>
      <c r="E9" s="304">
        <v>1070000</v>
      </c>
      <c r="F9" s="167"/>
      <c r="G9" s="305">
        <v>1000000</v>
      </c>
      <c r="H9" s="167"/>
      <c r="I9" s="269">
        <f>(G9-E9)*100/E9</f>
        <v>-6.5420560747663554</v>
      </c>
      <c r="J9" s="167"/>
      <c r="K9" s="305">
        <f>_xlfn.XLOOKUP(A9,اوراق!$A$9:$A$14,اوراق!$AE$9:$AE$14,0)</f>
        <v>199891250000</v>
      </c>
      <c r="L9" s="92"/>
      <c r="M9" s="418" t="s">
        <v>89</v>
      </c>
      <c r="N9" s="92"/>
      <c r="O9" s="92"/>
      <c r="P9" s="92"/>
      <c r="Q9" s="92"/>
    </row>
    <row r="10" spans="1:33" ht="25.5" customHeight="1">
      <c r="A10" s="375" t="s">
        <v>87</v>
      </c>
      <c r="B10" s="167"/>
      <c r="C10" s="167">
        <v>320000</v>
      </c>
      <c r="D10" s="167"/>
      <c r="E10" s="304">
        <v>1070000</v>
      </c>
      <c r="F10" s="167"/>
      <c r="G10" s="305">
        <v>1000000</v>
      </c>
      <c r="H10" s="167"/>
      <c r="I10" s="269">
        <f>(G10-E10)*100/E10</f>
        <v>-6.5420560747663554</v>
      </c>
      <c r="J10" s="167"/>
      <c r="K10" s="305">
        <f>_xlfn.XLOOKUP(A10,اوراق!$A$9:$A$14,اوراق!$AE$9:$AE$14,0)</f>
        <v>319826000000</v>
      </c>
      <c r="L10" s="92"/>
      <c r="M10" s="419"/>
      <c r="N10" s="92"/>
      <c r="O10" s="92"/>
      <c r="P10" s="92"/>
      <c r="Q10" s="217">
        <f>E9*C9</f>
        <v>214000000000</v>
      </c>
    </row>
    <row r="11" spans="1:33" ht="25.5" customHeight="1">
      <c r="A11" s="375" t="s">
        <v>134</v>
      </c>
      <c r="B11" s="167"/>
      <c r="C11" s="167">
        <v>120000</v>
      </c>
      <c r="D11" s="167"/>
      <c r="E11" s="304">
        <v>779560</v>
      </c>
      <c r="F11" s="167"/>
      <c r="G11" s="305">
        <v>722834</v>
      </c>
      <c r="H11" s="167"/>
      <c r="I11" s="269">
        <f>(G11-E11)*100/E11</f>
        <v>-7.2766688901431573</v>
      </c>
      <c r="J11" s="167"/>
      <c r="K11" s="305">
        <f>_xlfn.XLOOKUP(A11,اوراق!$A$9:$A$14,اوراق!$AE$9:$AE$14,0)</f>
        <v>86692915083</v>
      </c>
      <c r="L11" s="92"/>
      <c r="M11" s="419"/>
      <c r="N11" s="92"/>
      <c r="O11" s="92"/>
      <c r="P11" s="92"/>
      <c r="Q11" s="92"/>
    </row>
    <row r="12" spans="1:33" ht="25.5" customHeight="1">
      <c r="A12" s="375" t="s">
        <v>135</v>
      </c>
      <c r="B12" s="167"/>
      <c r="C12" s="167">
        <v>320000</v>
      </c>
      <c r="D12" s="167"/>
      <c r="E12" s="304">
        <v>956570</v>
      </c>
      <c r="F12" s="167"/>
      <c r="G12" s="305">
        <v>950934</v>
      </c>
      <c r="H12" s="167"/>
      <c r="I12" s="269">
        <f>(G12-E12)*100/E12</f>
        <v>-0.58918845458251878</v>
      </c>
      <c r="J12" s="167"/>
      <c r="K12" s="305">
        <f>_xlfn.XLOOKUP(A12,اوراق!$A$9:$A$14,اوراق!$AE$9:$AE$14,0)</f>
        <v>304133417485</v>
      </c>
      <c r="L12" s="92"/>
      <c r="M12" s="419"/>
      <c r="N12" s="92"/>
      <c r="O12" s="92"/>
      <c r="P12" s="92"/>
      <c r="Q12" s="92"/>
    </row>
    <row r="13" spans="1:33" ht="32.25" customHeight="1">
      <c r="A13" s="375" t="s">
        <v>159</v>
      </c>
      <c r="C13" s="167">
        <v>100000</v>
      </c>
      <c r="D13" s="167"/>
      <c r="E13" s="304">
        <v>931880</v>
      </c>
      <c r="F13" s="167"/>
      <c r="G13" s="305">
        <v>882308</v>
      </c>
      <c r="H13" s="167"/>
      <c r="I13" s="269">
        <f>(G13-E13)*100/E13</f>
        <v>-5.3195690432244493</v>
      </c>
      <c r="J13" s="167"/>
      <c r="K13" s="305">
        <f>_xlfn.XLOOKUP(A13,اوراق!$A$9:$A$14,اوراق!$AE$9:$AE$14,0)</f>
        <v>88182824503</v>
      </c>
      <c r="L13" s="93"/>
      <c r="M13" s="419"/>
    </row>
    <row r="14" spans="1:33">
      <c r="C14" s="94"/>
      <c r="K14" s="94"/>
      <c r="O14" s="144"/>
    </row>
    <row r="15" spans="1:33">
      <c r="E15" s="357"/>
      <c r="F15" s="357"/>
      <c r="G15" s="357"/>
      <c r="H15" s="357"/>
      <c r="I15" s="357"/>
      <c r="J15" s="357"/>
      <c r="K15" s="358"/>
      <c r="L15" s="357"/>
      <c r="M15" s="357"/>
      <c r="N15" s="357"/>
    </row>
    <row r="16" spans="1:33" ht="22.5">
      <c r="E16" s="357"/>
      <c r="F16" s="357"/>
      <c r="G16" s="359"/>
      <c r="H16" s="357"/>
      <c r="I16" s="357"/>
      <c r="J16" s="357"/>
      <c r="K16" s="82"/>
      <c r="L16" s="357"/>
      <c r="M16" s="357"/>
      <c r="N16" s="79"/>
    </row>
    <row r="17" spans="5:15" ht="22.5">
      <c r="E17" s="360"/>
      <c r="F17" s="357"/>
      <c r="G17" s="357"/>
      <c r="H17" s="357"/>
      <c r="I17" s="357"/>
      <c r="J17" s="357"/>
      <c r="K17" s="357"/>
      <c r="L17" s="357"/>
      <c r="M17" s="357"/>
      <c r="N17" s="79"/>
      <c r="O17" s="145"/>
    </row>
    <row r="18" spans="5:15" ht="22.5">
      <c r="E18" s="357"/>
      <c r="F18" s="357"/>
      <c r="G18" s="357"/>
      <c r="H18" s="357"/>
      <c r="I18" s="357"/>
      <c r="J18" s="357"/>
      <c r="K18" s="357"/>
      <c r="L18" s="357"/>
      <c r="M18" s="357"/>
      <c r="N18" s="79"/>
    </row>
    <row r="19" spans="5:15">
      <c r="E19" s="357"/>
      <c r="F19" s="357"/>
      <c r="G19" s="357"/>
      <c r="H19" s="357"/>
      <c r="I19" s="357"/>
      <c r="J19" s="357"/>
      <c r="K19" s="357"/>
      <c r="L19" s="357"/>
      <c r="M19" s="357"/>
      <c r="N19" s="357"/>
    </row>
    <row r="20" spans="5:15">
      <c r="E20" s="357"/>
      <c r="F20" s="357"/>
      <c r="G20" s="357"/>
      <c r="H20" s="357"/>
      <c r="I20" s="357"/>
      <c r="J20" s="357"/>
      <c r="K20" s="358"/>
      <c r="L20" s="357"/>
      <c r="M20" s="361"/>
      <c r="N20" s="357"/>
    </row>
    <row r="21" spans="5:15">
      <c r="E21" s="357"/>
      <c r="F21" s="357"/>
      <c r="G21" s="357"/>
      <c r="H21" s="357"/>
      <c r="I21" s="357"/>
      <c r="J21" s="357"/>
      <c r="K21" s="358"/>
      <c r="L21" s="357"/>
      <c r="M21" s="357"/>
      <c r="N21" s="357"/>
    </row>
    <row r="22" spans="5:15">
      <c r="E22" s="357"/>
      <c r="F22" s="357"/>
      <c r="G22" s="357"/>
      <c r="H22" s="357"/>
      <c r="I22" s="357"/>
      <c r="J22" s="357"/>
      <c r="K22" s="357"/>
      <c r="L22" s="357"/>
      <c r="M22" s="358"/>
      <c r="N22" s="357"/>
    </row>
    <row r="23" spans="5:15">
      <c r="E23" s="357"/>
      <c r="F23" s="357"/>
      <c r="G23" s="357"/>
      <c r="H23" s="357"/>
      <c r="I23" s="357"/>
      <c r="J23" s="357"/>
      <c r="K23" s="357"/>
      <c r="L23" s="357"/>
      <c r="M23" s="357"/>
      <c r="N23" s="357"/>
    </row>
    <row r="24" spans="5:15">
      <c r="E24" s="357"/>
      <c r="F24" s="357"/>
      <c r="G24" s="357"/>
      <c r="H24" s="357"/>
      <c r="I24" s="357"/>
      <c r="J24" s="357"/>
      <c r="K24" s="357"/>
      <c r="L24" s="357"/>
      <c r="M24" s="357"/>
      <c r="N24" s="357"/>
    </row>
    <row r="25" spans="5:15">
      <c r="E25" s="357"/>
      <c r="F25" s="357"/>
      <c r="G25" s="357"/>
      <c r="H25" s="357"/>
      <c r="I25" s="357"/>
      <c r="J25" s="357"/>
      <c r="K25" s="357"/>
      <c r="L25" s="357"/>
      <c r="M25" s="357"/>
      <c r="N25" s="357"/>
    </row>
    <row r="26" spans="5:15">
      <c r="E26" s="357"/>
      <c r="F26" s="357"/>
      <c r="G26" s="357"/>
      <c r="H26" s="357"/>
      <c r="I26" s="357"/>
      <c r="J26" s="357"/>
      <c r="K26" s="357"/>
      <c r="L26" s="357"/>
      <c r="M26" s="357"/>
      <c r="N26" s="357"/>
    </row>
    <row r="27" spans="5:15">
      <c r="E27" s="357"/>
      <c r="F27" s="357"/>
      <c r="G27" s="357"/>
      <c r="H27" s="357"/>
      <c r="I27" s="357"/>
      <c r="J27" s="357"/>
      <c r="K27" s="357"/>
      <c r="L27" s="357"/>
      <c r="M27" s="357"/>
      <c r="N27" s="357"/>
    </row>
    <row r="28" spans="5:15">
      <c r="E28" s="357"/>
      <c r="F28" s="357"/>
      <c r="G28" s="357"/>
      <c r="H28" s="357"/>
      <c r="I28" s="357"/>
      <c r="J28" s="357"/>
      <c r="K28" s="357"/>
      <c r="L28" s="357"/>
      <c r="M28" s="357"/>
      <c r="N28" s="357"/>
    </row>
    <row r="29" spans="5:15">
      <c r="E29" s="357"/>
      <c r="F29" s="357"/>
      <c r="G29" s="357"/>
      <c r="H29" s="357"/>
      <c r="I29" s="357"/>
      <c r="J29" s="357"/>
      <c r="K29" s="357"/>
      <c r="L29" s="357"/>
      <c r="M29" s="357"/>
      <c r="N29" s="357"/>
    </row>
    <row r="30" spans="5:15">
      <c r="E30" s="357"/>
      <c r="F30" s="357"/>
      <c r="G30" s="357"/>
      <c r="H30" s="357"/>
      <c r="I30" s="357"/>
      <c r="J30" s="357"/>
      <c r="K30" s="357"/>
      <c r="L30" s="357"/>
      <c r="M30" s="357"/>
      <c r="N30" s="357"/>
    </row>
    <row r="31" spans="5:15">
      <c r="E31" s="357"/>
      <c r="F31" s="357"/>
      <c r="G31" s="357"/>
      <c r="H31" s="357"/>
      <c r="I31" s="357"/>
      <c r="J31" s="357"/>
      <c r="K31" s="357"/>
      <c r="L31" s="357"/>
      <c r="M31" s="357"/>
      <c r="N31" s="357"/>
    </row>
    <row r="32" spans="5:15">
      <c r="E32" s="357"/>
      <c r="F32" s="357"/>
      <c r="G32" s="357"/>
      <c r="H32" s="357"/>
      <c r="I32" s="357"/>
      <c r="J32" s="357"/>
      <c r="K32" s="357"/>
      <c r="L32" s="357"/>
      <c r="M32" s="357"/>
      <c r="N32" s="357"/>
    </row>
    <row r="33" spans="5:14"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</sheetData>
  <autoFilter ref="A8:K8" xr:uid="{00000000-0001-0000-0300-000000000000}">
    <sortState xmlns:xlrd2="http://schemas.microsoft.com/office/spreadsheetml/2017/richdata2" ref="A9:K13">
      <sortCondition ref="A8"/>
    </sortState>
  </autoFilter>
  <mergeCells count="7">
    <mergeCell ref="M9:M13"/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1"/>
  <sheetViews>
    <sheetView rightToLeft="1" view="pageBreakPreview" zoomScale="70" zoomScaleNormal="70" zoomScaleSheetLayoutView="70" workbookViewId="0">
      <selection activeCell="O36" sqref="O36:W45"/>
    </sheetView>
  </sheetViews>
  <sheetFormatPr defaultColWidth="9.140625" defaultRowHeight="15"/>
  <cols>
    <col min="1" max="1" width="34.42578125" style="199" bestFit="1" customWidth="1"/>
    <col min="2" max="2" width="1.28515625" style="95" customWidth="1"/>
    <col min="3" max="3" width="19" style="61" bestFit="1" customWidth="1"/>
    <col min="4" max="4" width="0.7109375" style="95" customWidth="1"/>
    <col min="5" max="5" width="26.7109375" style="95" customWidth="1"/>
    <col min="6" max="6" width="0.42578125" style="95" customWidth="1"/>
    <col min="7" max="7" width="27.140625" style="95" bestFit="1" customWidth="1"/>
    <col min="8" max="8" width="0.42578125" style="95" customWidth="1"/>
    <col min="9" max="9" width="16.28515625" style="95" customWidth="1"/>
    <col min="10" max="10" width="23.140625" style="95" customWidth="1"/>
    <col min="11" max="11" width="1" style="95" customWidth="1"/>
    <col min="12" max="12" width="15.28515625" style="95" customWidth="1"/>
    <col min="13" max="13" width="21.42578125" style="95" customWidth="1"/>
    <col min="14" max="14" width="1.42578125" style="95" customWidth="1"/>
    <col min="15" max="15" width="19" style="95" bestFit="1" customWidth="1"/>
    <col min="16" max="16" width="1.42578125" style="95" customWidth="1"/>
    <col min="17" max="17" width="18.28515625" style="95" customWidth="1"/>
    <col min="18" max="18" width="1.42578125" style="95" customWidth="1"/>
    <col min="19" max="19" width="27" style="95" bestFit="1" customWidth="1"/>
    <col min="20" max="20" width="1.5703125" style="95" customWidth="1"/>
    <col min="21" max="21" width="26.7109375" style="95" customWidth="1"/>
    <col min="22" max="22" width="1.28515625" style="95" customWidth="1"/>
    <col min="23" max="23" width="17" style="95" customWidth="1"/>
    <col min="24" max="24" width="9.140625" style="95"/>
    <col min="25" max="25" width="10" style="95" hidden="1" customWidth="1"/>
    <col min="26" max="16384" width="9.140625" style="95"/>
  </cols>
  <sheetData>
    <row r="1" spans="1:25" s="7" customFormat="1" ht="24.75">
      <c r="A1" s="414" t="s">
        <v>75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5" s="7" customFormat="1" ht="24.75">
      <c r="A2" s="414" t="s">
        <v>42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</row>
    <row r="3" spans="1:25" s="7" customFormat="1" ht="22.5" customHeight="1">
      <c r="A3" s="414" t="str">
        <f>روکش!A21</f>
        <v>منتهی به 1405/01/31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</row>
    <row r="4" spans="1:25" ht="27.75">
      <c r="A4" s="415" t="s">
        <v>148</v>
      </c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25" ht="11.25" customHeight="1">
      <c r="A5" s="198"/>
      <c r="B5" s="96"/>
      <c r="C5" s="197"/>
      <c r="D5" s="96"/>
      <c r="E5" s="96"/>
      <c r="F5" s="96"/>
      <c r="G5" s="96"/>
      <c r="H5" s="96"/>
      <c r="I5" s="96"/>
      <c r="J5" s="96"/>
      <c r="K5" s="96"/>
    </row>
    <row r="6" spans="1:25" s="20" customFormat="1" ht="31.5" thickBot="1">
      <c r="A6" s="88"/>
      <c r="B6" s="275"/>
      <c r="C6" s="429" t="str">
        <f>اوراق!M6</f>
        <v>1404/12/29</v>
      </c>
      <c r="D6" s="429"/>
      <c r="E6" s="429"/>
      <c r="F6" s="429"/>
      <c r="G6" s="429"/>
      <c r="H6" s="276"/>
      <c r="I6" s="430" t="s">
        <v>7</v>
      </c>
      <c r="J6" s="430"/>
      <c r="K6" s="430"/>
      <c r="L6" s="430"/>
      <c r="M6" s="430"/>
      <c r="N6" s="35"/>
      <c r="O6" s="410" t="str">
        <f>اوراق!Y6</f>
        <v xml:space="preserve"> 1405/01/31</v>
      </c>
      <c r="P6" s="410"/>
      <c r="Q6" s="410"/>
      <c r="R6" s="410"/>
      <c r="S6" s="410"/>
      <c r="T6" s="410"/>
      <c r="U6" s="410"/>
      <c r="V6" s="410"/>
      <c r="W6" s="410"/>
    </row>
    <row r="7" spans="1:25" s="20" customFormat="1" ht="19.5" customHeight="1">
      <c r="A7" s="405" t="s">
        <v>1</v>
      </c>
      <c r="B7" s="278"/>
      <c r="C7" s="425" t="s">
        <v>3</v>
      </c>
      <c r="D7" s="431"/>
      <c r="E7" s="425" t="s">
        <v>0</v>
      </c>
      <c r="F7" s="431"/>
      <c r="G7" s="427" t="s">
        <v>17</v>
      </c>
      <c r="H7" s="279"/>
      <c r="I7" s="433" t="s">
        <v>4</v>
      </c>
      <c r="J7" s="433"/>
      <c r="K7" s="281"/>
      <c r="L7" s="433" t="s">
        <v>5</v>
      </c>
      <c r="M7" s="433"/>
      <c r="N7" s="35"/>
      <c r="O7" s="434" t="s">
        <v>3</v>
      </c>
      <c r="P7" s="431"/>
      <c r="Q7" s="427" t="s">
        <v>26</v>
      </c>
      <c r="R7" s="280"/>
      <c r="S7" s="434" t="s">
        <v>0</v>
      </c>
      <c r="T7" s="431"/>
      <c r="U7" s="427" t="s">
        <v>17</v>
      </c>
      <c r="V7" s="282"/>
      <c r="W7" s="435" t="s">
        <v>18</v>
      </c>
    </row>
    <row r="8" spans="1:25" s="20" customFormat="1" ht="31.5" customHeight="1" thickBot="1">
      <c r="A8" s="404"/>
      <c r="B8" s="278"/>
      <c r="C8" s="426"/>
      <c r="D8" s="432"/>
      <c r="E8" s="426"/>
      <c r="F8" s="432"/>
      <c r="G8" s="428"/>
      <c r="H8" s="279"/>
      <c r="I8" s="277" t="s">
        <v>3</v>
      </c>
      <c r="J8" s="277" t="s">
        <v>0</v>
      </c>
      <c r="K8" s="281"/>
      <c r="L8" s="277" t="s">
        <v>3</v>
      </c>
      <c r="M8" s="277" t="s">
        <v>41</v>
      </c>
      <c r="N8" s="35"/>
      <c r="O8" s="426"/>
      <c r="P8" s="431"/>
      <c r="Q8" s="428"/>
      <c r="R8" s="280"/>
      <c r="S8" s="426"/>
      <c r="T8" s="431"/>
      <c r="U8" s="428"/>
      <c r="V8" s="282"/>
      <c r="W8" s="436"/>
    </row>
    <row r="9" spans="1:25" s="20" customFormat="1" ht="40.15" customHeight="1">
      <c r="A9" s="283" t="s">
        <v>141</v>
      </c>
      <c r="B9" s="38"/>
      <c r="C9" s="35">
        <v>49000</v>
      </c>
      <c r="D9" s="35"/>
      <c r="E9" s="35">
        <v>70331711803</v>
      </c>
      <c r="F9" s="35"/>
      <c r="G9" s="35">
        <v>86974363000</v>
      </c>
      <c r="H9" s="35"/>
      <c r="I9" s="35">
        <v>0</v>
      </c>
      <c r="J9" s="35">
        <v>0</v>
      </c>
      <c r="K9" s="284"/>
      <c r="L9" s="35">
        <v>0</v>
      </c>
      <c r="M9" s="35">
        <v>0</v>
      </c>
      <c r="N9" s="35"/>
      <c r="O9" s="35">
        <v>49000</v>
      </c>
      <c r="P9" s="35"/>
      <c r="Q9" s="35">
        <v>1768421</v>
      </c>
      <c r="R9" s="35"/>
      <c r="S9" s="35">
        <v>70331711803</v>
      </c>
      <c r="T9" s="35"/>
      <c r="U9" s="35">
        <v>86652629000</v>
      </c>
      <c r="V9" s="284"/>
      <c r="W9" s="285">
        <f>U9/درآمدها!$J$7</f>
        <v>2.6706222152240923E-2</v>
      </c>
      <c r="Y9" s="274">
        <f>C9+I9-L9-O9</f>
        <v>0</v>
      </c>
    </row>
    <row r="10" spans="1:25" s="20" customFormat="1" ht="40.15" customHeight="1">
      <c r="A10" s="283" t="s">
        <v>138</v>
      </c>
      <c r="B10" s="38"/>
      <c r="C10" s="35">
        <v>2642533</v>
      </c>
      <c r="D10" s="35"/>
      <c r="E10" s="35">
        <v>69999985686</v>
      </c>
      <c r="F10" s="35"/>
      <c r="G10" s="35">
        <v>79291845198</v>
      </c>
      <c r="H10" s="35"/>
      <c r="I10" s="35">
        <v>0</v>
      </c>
      <c r="J10" s="35">
        <v>0</v>
      </c>
      <c r="K10" s="284"/>
      <c r="L10" s="35">
        <v>0</v>
      </c>
      <c r="M10" s="35">
        <v>0</v>
      </c>
      <c r="N10" s="35"/>
      <c r="O10" s="35">
        <v>2642533</v>
      </c>
      <c r="P10" s="35"/>
      <c r="Q10" s="35">
        <v>30547</v>
      </c>
      <c r="R10" s="35"/>
      <c r="S10" s="35">
        <v>69999985686</v>
      </c>
      <c r="T10" s="35"/>
      <c r="U10" s="35">
        <v>80721455551</v>
      </c>
      <c r="V10" s="284"/>
      <c r="W10" s="285">
        <f>U10/درآمدها!$J$7</f>
        <v>2.4878242579313401E-2</v>
      </c>
      <c r="Y10" s="274"/>
    </row>
    <row r="11" spans="1:25" s="20" customFormat="1" ht="40.15" customHeight="1">
      <c r="A11" s="283" t="s">
        <v>168</v>
      </c>
      <c r="B11" s="38"/>
      <c r="C11" s="35">
        <v>6128379</v>
      </c>
      <c r="D11" s="35"/>
      <c r="E11" s="35">
        <v>70017526764</v>
      </c>
      <c r="F11" s="35"/>
      <c r="G11" s="35">
        <v>79797010121</v>
      </c>
      <c r="H11" s="35"/>
      <c r="I11" s="35">
        <v>0</v>
      </c>
      <c r="J11" s="35">
        <v>0</v>
      </c>
      <c r="K11" s="284"/>
      <c r="L11" s="35">
        <v>0</v>
      </c>
      <c r="M11" s="35">
        <v>0</v>
      </c>
      <c r="N11" s="35"/>
      <c r="O11" s="35">
        <v>6128379</v>
      </c>
      <c r="P11" s="35"/>
      <c r="Q11" s="35">
        <v>13176.580000029371</v>
      </c>
      <c r="R11" s="35"/>
      <c r="S11" s="35">
        <v>70017526764</v>
      </c>
      <c r="T11" s="35"/>
      <c r="U11" s="35">
        <v>80751076164</v>
      </c>
      <c r="V11" s="284"/>
      <c r="W11" s="285">
        <f>U11/درآمدها!$J$7</f>
        <v>2.4887371611867781E-2</v>
      </c>
      <c r="Y11" s="274"/>
    </row>
    <row r="12" spans="1:25" s="20" customFormat="1" ht="40.15" customHeight="1">
      <c r="A12" s="283" t="s">
        <v>147</v>
      </c>
      <c r="B12" s="38"/>
      <c r="C12" s="35">
        <v>4899171</v>
      </c>
      <c r="D12" s="35"/>
      <c r="E12" s="35">
        <v>77980407260</v>
      </c>
      <c r="F12" s="35"/>
      <c r="G12" s="35">
        <v>97375922796</v>
      </c>
      <c r="H12" s="35"/>
      <c r="I12" s="35">
        <v>0</v>
      </c>
      <c r="J12" s="35">
        <v>0</v>
      </c>
      <c r="K12" s="284"/>
      <c r="L12" s="35">
        <v>0</v>
      </c>
      <c r="M12" s="35">
        <v>0</v>
      </c>
      <c r="N12" s="35"/>
      <c r="O12" s="35">
        <v>4899171</v>
      </c>
      <c r="P12" s="35"/>
      <c r="Q12" s="35">
        <v>20234</v>
      </c>
      <c r="R12" s="35"/>
      <c r="S12" s="35">
        <v>77980407260</v>
      </c>
      <c r="T12" s="35"/>
      <c r="U12" s="35">
        <v>99129826014</v>
      </c>
      <c r="V12" s="284"/>
      <c r="W12" s="285">
        <f>U12/درآمدها!$J$7</f>
        <v>3.0551677265820466E-2</v>
      </c>
    </row>
    <row r="13" spans="1:25" s="20" customFormat="1" ht="40.15" customHeight="1">
      <c r="A13" s="283" t="s">
        <v>169</v>
      </c>
      <c r="B13" s="38"/>
      <c r="C13" s="35">
        <v>3698906</v>
      </c>
      <c r="D13" s="35"/>
      <c r="E13" s="35">
        <v>69999983586</v>
      </c>
      <c r="F13" s="35"/>
      <c r="G13" s="35">
        <v>79012331066</v>
      </c>
      <c r="H13" s="35"/>
      <c r="I13" s="35">
        <v>0</v>
      </c>
      <c r="J13" s="35">
        <v>0</v>
      </c>
      <c r="K13" s="284"/>
      <c r="L13" s="35">
        <v>0</v>
      </c>
      <c r="M13" s="35">
        <v>0</v>
      </c>
      <c r="N13" s="35"/>
      <c r="O13" s="35">
        <v>3698906</v>
      </c>
      <c r="P13" s="35"/>
      <c r="Q13" s="35">
        <v>21735</v>
      </c>
      <c r="R13" s="35"/>
      <c r="S13" s="35">
        <v>69999983586</v>
      </c>
      <c r="T13" s="35"/>
      <c r="U13" s="35">
        <v>80395721910</v>
      </c>
      <c r="V13" s="284"/>
      <c r="W13" s="285">
        <f>U13/درآمدها!$J$7</f>
        <v>2.4777851915124733E-2</v>
      </c>
    </row>
    <row r="14" spans="1:25" s="20" customFormat="1" ht="40.15" customHeight="1" thickBot="1">
      <c r="A14" s="283" t="s">
        <v>170</v>
      </c>
      <c r="B14" s="38"/>
      <c r="C14" s="35">
        <v>3268231</v>
      </c>
      <c r="D14" s="35"/>
      <c r="E14" s="35">
        <v>69999984709</v>
      </c>
      <c r="F14" s="35"/>
      <c r="G14" s="35">
        <v>79504261916</v>
      </c>
      <c r="H14" s="35"/>
      <c r="I14" s="35">
        <v>0</v>
      </c>
      <c r="J14" s="35">
        <v>0</v>
      </c>
      <c r="K14" s="284"/>
      <c r="L14" s="35">
        <v>0</v>
      </c>
      <c r="M14" s="35">
        <v>0</v>
      </c>
      <c r="N14" s="35"/>
      <c r="O14" s="35">
        <v>3268231</v>
      </c>
      <c r="P14" s="35"/>
      <c r="Q14" s="35">
        <v>24588.930000052016</v>
      </c>
      <c r="R14" s="35"/>
      <c r="S14" s="35">
        <v>69999984709</v>
      </c>
      <c r="T14" s="35"/>
      <c r="U14" s="35">
        <v>80362303283</v>
      </c>
      <c r="V14" s="284"/>
      <c r="W14" s="285">
        <f>U14/درآمدها!$J$7</f>
        <v>2.4767552339832157E-2</v>
      </c>
    </row>
    <row r="15" spans="1:25" s="20" customFormat="1" ht="42" customHeight="1" thickBot="1">
      <c r="A15" s="38"/>
      <c r="B15" s="278"/>
      <c r="C15" s="35"/>
      <c r="D15" s="286">
        <f>SUM(D9:D9)</f>
        <v>0</v>
      </c>
      <c r="E15" s="286">
        <f>SUM(E9:E14)</f>
        <v>428329599808</v>
      </c>
      <c r="F15" s="35"/>
      <c r="G15" s="286">
        <f>SUM(G9:G14)</f>
        <v>501955734097</v>
      </c>
      <c r="H15" s="35"/>
      <c r="I15" s="35"/>
      <c r="J15" s="286">
        <f>SUM(J9:J14)</f>
        <v>0</v>
      </c>
      <c r="K15" s="35"/>
      <c r="L15" s="35"/>
      <c r="M15" s="286">
        <f>SUM(M9:M14)</f>
        <v>0</v>
      </c>
      <c r="N15" s="35"/>
      <c r="O15" s="35"/>
      <c r="P15" s="35"/>
      <c r="Q15" s="35"/>
      <c r="R15" s="35"/>
      <c r="S15" s="286">
        <f>SUM(S9:S14)</f>
        <v>428329599808</v>
      </c>
      <c r="T15" s="35"/>
      <c r="U15" s="287">
        <f>SUM(U9:U14)</f>
        <v>508013011922</v>
      </c>
      <c r="V15" s="38"/>
      <c r="W15" s="288">
        <f>SUM(W9:W14)</f>
        <v>0.15656891786419946</v>
      </c>
    </row>
    <row r="16" spans="1:25" s="96" customFormat="1" ht="18.75" thickTop="1">
      <c r="A16" s="198"/>
      <c r="C16" s="197"/>
      <c r="L16" s="99"/>
    </row>
    <row r="17" spans="1:21" s="96" customFormat="1" ht="18" hidden="1">
      <c r="A17" s="198"/>
      <c r="C17" s="197"/>
      <c r="L17" s="99"/>
    </row>
    <row r="18" spans="1:21" s="96" customFormat="1" ht="18" hidden="1">
      <c r="A18" s="198"/>
      <c r="C18" s="197"/>
      <c r="L18" s="99"/>
    </row>
    <row r="19" spans="1:21" s="96" customFormat="1" ht="21.75" hidden="1">
      <c r="A19" s="198"/>
      <c r="C19" s="197"/>
      <c r="L19" s="99"/>
      <c r="U19" s="133">
        <v>288852612688</v>
      </c>
    </row>
    <row r="20" spans="1:21" s="96" customFormat="1" ht="21.75" hidden="1">
      <c r="A20" s="198"/>
      <c r="C20" s="197"/>
      <c r="U20" s="133">
        <f>U19-U15</f>
        <v>-219160399234</v>
      </c>
    </row>
    <row r="21" spans="1:21" ht="18.75" hidden="1" customHeight="1" thickTop="1">
      <c r="A21" s="198"/>
      <c r="B21" s="96"/>
      <c r="C21" s="197"/>
      <c r="D21" s="96"/>
      <c r="E21" s="96"/>
      <c r="F21" s="96"/>
      <c r="G21" s="96"/>
      <c r="H21" s="96"/>
      <c r="I21" s="96"/>
      <c r="J21" s="96"/>
      <c r="K21" s="96"/>
    </row>
    <row r="22" spans="1:21" ht="15.75" hidden="1" customHeight="1" thickTop="1">
      <c r="A22" s="198"/>
      <c r="B22" s="96"/>
      <c r="C22" s="197"/>
      <c r="D22" s="96"/>
      <c r="E22" s="96"/>
      <c r="F22" s="96"/>
      <c r="G22" s="96"/>
      <c r="H22" s="96"/>
      <c r="I22" s="96"/>
      <c r="J22" s="96"/>
      <c r="K22" s="96"/>
    </row>
    <row r="23" spans="1:21" ht="15.75" hidden="1" customHeight="1" thickTop="1">
      <c r="A23" s="198"/>
      <c r="B23" s="96"/>
      <c r="C23" s="197"/>
      <c r="D23" s="96"/>
      <c r="E23" s="96"/>
      <c r="F23" s="96"/>
      <c r="G23" s="96"/>
      <c r="H23" s="96"/>
      <c r="I23" s="96"/>
      <c r="J23" s="96"/>
      <c r="K23" s="96"/>
    </row>
    <row r="24" spans="1:21" ht="15.75" hidden="1" customHeight="1" thickTop="1">
      <c r="A24" s="198"/>
      <c r="B24" s="96"/>
      <c r="C24" s="197"/>
      <c r="D24" s="96"/>
      <c r="E24" s="96"/>
      <c r="F24" s="96"/>
      <c r="G24" s="96"/>
      <c r="H24" s="96"/>
      <c r="I24" s="96"/>
      <c r="J24" s="96"/>
      <c r="K24" s="96"/>
    </row>
    <row r="25" spans="1:21" ht="15.75" hidden="1" customHeight="1" thickTop="1">
      <c r="A25" s="198"/>
      <c r="B25" s="96"/>
      <c r="C25" s="197"/>
      <c r="D25" s="96"/>
      <c r="E25" s="96"/>
      <c r="F25" s="96"/>
      <c r="G25" s="96"/>
      <c r="H25" s="96"/>
      <c r="I25" s="96"/>
      <c r="J25" s="96"/>
      <c r="K25" s="96"/>
    </row>
    <row r="26" spans="1:21" ht="15.75" hidden="1" customHeight="1" thickTop="1">
      <c r="A26" s="198"/>
      <c r="B26" s="96"/>
      <c r="C26" s="197"/>
      <c r="D26" s="96"/>
      <c r="E26" s="96"/>
      <c r="F26" s="96"/>
      <c r="G26" s="96"/>
      <c r="H26" s="96"/>
      <c r="I26" s="96"/>
      <c r="J26" s="96"/>
      <c r="K26" s="96"/>
    </row>
    <row r="27" spans="1:21" ht="15.75" hidden="1" customHeight="1" thickTop="1">
      <c r="A27" s="198"/>
      <c r="B27" s="96"/>
      <c r="C27" s="197"/>
      <c r="D27" s="96"/>
      <c r="E27" s="96"/>
      <c r="F27" s="96"/>
      <c r="G27" s="96"/>
      <c r="H27" s="96"/>
      <c r="I27" s="96"/>
      <c r="J27" s="96"/>
      <c r="K27" s="96"/>
    </row>
    <row r="28" spans="1:21" ht="15.75" hidden="1" customHeight="1" thickTop="1">
      <c r="A28" s="198"/>
      <c r="B28" s="96"/>
      <c r="C28" s="197"/>
      <c r="D28" s="96"/>
      <c r="E28" s="96"/>
      <c r="F28" s="96"/>
      <c r="G28" s="96"/>
      <c r="H28" s="96"/>
      <c r="I28" s="96"/>
      <c r="J28" s="96"/>
      <c r="K28" s="96"/>
    </row>
    <row r="29" spans="1:21" ht="15.75" hidden="1" customHeight="1" thickTop="1">
      <c r="A29" s="198"/>
      <c r="B29" s="96"/>
      <c r="C29" s="197"/>
      <c r="D29" s="96"/>
      <c r="E29" s="96"/>
      <c r="F29" s="96"/>
      <c r="G29" s="96"/>
      <c r="H29" s="96"/>
      <c r="I29" s="96"/>
      <c r="J29" s="96"/>
      <c r="K29" s="96"/>
    </row>
    <row r="30" spans="1:21" ht="15.75" hidden="1" customHeight="1" thickTop="1">
      <c r="A30" s="198"/>
      <c r="B30" s="96"/>
      <c r="C30" s="197"/>
      <c r="D30" s="96"/>
      <c r="E30" s="96"/>
      <c r="F30" s="96"/>
      <c r="G30" s="96"/>
      <c r="H30" s="96"/>
      <c r="I30" s="96"/>
      <c r="J30" s="96"/>
      <c r="K30" s="96"/>
    </row>
    <row r="31" spans="1:21" ht="15.75" hidden="1" customHeight="1" thickTop="1">
      <c r="A31" s="198"/>
      <c r="B31" s="96"/>
      <c r="C31" s="197"/>
      <c r="D31" s="96"/>
      <c r="E31" s="96"/>
      <c r="F31" s="96"/>
      <c r="G31" s="96"/>
      <c r="H31" s="96"/>
      <c r="I31" s="96"/>
      <c r="J31" s="96"/>
      <c r="K31" s="96"/>
    </row>
    <row r="32" spans="1:21" ht="15.75" hidden="1" customHeight="1" thickTop="1">
      <c r="A32" s="198"/>
      <c r="B32" s="96"/>
      <c r="C32" s="197"/>
      <c r="D32" s="96"/>
      <c r="E32" s="96"/>
      <c r="F32" s="96"/>
      <c r="G32" s="96"/>
      <c r="H32" s="96"/>
      <c r="I32" s="96"/>
      <c r="J32" s="96"/>
      <c r="K32" s="96"/>
    </row>
    <row r="33" spans="1:21" ht="18" hidden="1">
      <c r="A33" s="198"/>
      <c r="B33" s="96"/>
      <c r="C33" s="197"/>
      <c r="D33" s="96"/>
      <c r="E33" s="96"/>
      <c r="F33" s="96"/>
      <c r="G33" s="96"/>
      <c r="H33" s="96"/>
      <c r="I33" s="96"/>
      <c r="J33" s="96"/>
      <c r="K33" s="96"/>
    </row>
    <row r="34" spans="1:21" ht="18" hidden="1">
      <c r="A34" s="198"/>
      <c r="B34" s="96"/>
      <c r="C34" s="197"/>
      <c r="D34" s="96"/>
      <c r="E34" s="96"/>
      <c r="F34" s="96"/>
      <c r="G34" s="96"/>
      <c r="H34" s="96"/>
      <c r="I34" s="96"/>
      <c r="J34" s="96"/>
      <c r="K34" s="96"/>
    </row>
    <row r="35" spans="1:21" s="378" customFormat="1" ht="30.75">
      <c r="A35" s="377"/>
      <c r="C35" s="379"/>
      <c r="O35" s="380"/>
    </row>
    <row r="36" spans="1:21" s="378" customFormat="1" ht="30.75">
      <c r="A36" s="377"/>
      <c r="C36" s="381"/>
      <c r="I36" s="382"/>
      <c r="S36" s="382"/>
      <c r="U36" s="382"/>
    </row>
    <row r="37" spans="1:21" s="378" customFormat="1" ht="30.75">
      <c r="A37" s="377"/>
      <c r="C37" s="381"/>
      <c r="I37" s="380"/>
      <c r="S37" s="380"/>
      <c r="U37" s="380"/>
    </row>
    <row r="38" spans="1:21" s="378" customFormat="1" ht="30.75">
      <c r="A38" s="377"/>
      <c r="C38" s="381"/>
      <c r="E38" s="382"/>
      <c r="G38" s="382"/>
      <c r="O38" s="382"/>
      <c r="S38" s="382"/>
      <c r="U38" s="382"/>
    </row>
    <row r="39" spans="1:21" s="378" customFormat="1" ht="30.75">
      <c r="A39" s="377"/>
      <c r="C39" s="381"/>
      <c r="E39" s="380"/>
      <c r="F39" s="380"/>
      <c r="G39" s="380"/>
      <c r="O39" s="380"/>
      <c r="Q39" s="382"/>
      <c r="S39" s="380"/>
      <c r="T39" s="380"/>
      <c r="U39" s="380"/>
    </row>
    <row r="40" spans="1:21" s="378" customFormat="1" ht="30.75">
      <c r="A40" s="377"/>
      <c r="C40" s="381"/>
      <c r="Q40" s="382"/>
    </row>
    <row r="41" spans="1:21" s="378" customFormat="1" ht="30.75">
      <c r="A41" s="377"/>
      <c r="C41" s="381"/>
      <c r="Q41" s="382"/>
    </row>
  </sheetData>
  <mergeCells count="22">
    <mergeCell ref="W7:W8"/>
    <mergeCell ref="P7:P8"/>
    <mergeCell ref="Q7:Q8"/>
    <mergeCell ref="S7:S8"/>
    <mergeCell ref="T7:T8"/>
    <mergeCell ref="U7:U8"/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</mergeCells>
  <pageMargins left="0.25" right="0.25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Q38"/>
  <sheetViews>
    <sheetView rightToLeft="1" view="pageBreakPreview" zoomScaleNormal="100" zoomScaleSheetLayoutView="100" workbookViewId="0">
      <selection activeCell="K9" sqref="K9"/>
    </sheetView>
  </sheetViews>
  <sheetFormatPr defaultColWidth="9.140625" defaultRowHeight="15"/>
  <cols>
    <col min="1" max="1" width="18.7109375" style="199" customWidth="1"/>
    <col min="2" max="2" width="0.42578125" style="95" customWidth="1"/>
    <col min="3" max="3" width="22.140625" style="61" bestFit="1" customWidth="1"/>
    <col min="4" max="4" width="0.7109375" style="95" customWidth="1"/>
    <col min="5" max="5" width="21.85546875" style="95" customWidth="1"/>
    <col min="6" max="6" width="0.42578125" style="95" customWidth="1"/>
    <col min="7" max="7" width="22.140625" style="95" customWidth="1"/>
    <col min="8" max="8" width="0.42578125" style="95" customWidth="1"/>
    <col min="9" max="9" width="22.140625" style="95" bestFit="1" customWidth="1"/>
    <col min="10" max="10" width="0.5703125" style="95" customWidth="1"/>
    <col min="11" max="11" width="16" style="95" customWidth="1"/>
    <col min="12" max="12" width="14.7109375" style="95" hidden="1" customWidth="1"/>
    <col min="13" max="13" width="9.140625" style="95"/>
    <col min="14" max="14" width="20.140625" style="95" bestFit="1" customWidth="1"/>
    <col min="15" max="16" width="9.140625" style="95"/>
    <col min="17" max="17" width="12.140625" style="95" hidden="1" customWidth="1"/>
    <col min="18" max="16384" width="9.140625" style="95"/>
  </cols>
  <sheetData>
    <row r="1" spans="1:13" s="7" customFormat="1" ht="18">
      <c r="A1" s="439" t="s">
        <v>75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spans="1:13" s="7" customFormat="1" ht="18">
      <c r="A2" s="439" t="s">
        <v>42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</row>
    <row r="3" spans="1:13" s="7" customFormat="1" ht="16.5" customHeight="1">
      <c r="A3" s="439" t="str">
        <f>روکش!A21</f>
        <v>منتهی به 1405/01/31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</row>
    <row r="4" spans="1:13" ht="18.75">
      <c r="A4" s="442" t="s">
        <v>43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</row>
    <row r="5" spans="1:13" ht="11.25" customHeight="1">
      <c r="A5" s="198"/>
      <c r="B5" s="96"/>
      <c r="C5" s="197"/>
      <c r="D5" s="96"/>
      <c r="E5" s="96"/>
      <c r="F5" s="96"/>
      <c r="G5" s="96"/>
      <c r="H5" s="96"/>
      <c r="I5" s="96"/>
      <c r="J5" s="96"/>
      <c r="K5" s="96"/>
    </row>
    <row r="6" spans="1:13" ht="18.75" customHeight="1" thickBot="1">
      <c r="A6" s="207"/>
      <c r="B6" s="208"/>
      <c r="C6" s="209" t="s">
        <v>184</v>
      </c>
      <c r="D6" s="97"/>
      <c r="E6" s="438" t="s">
        <v>7</v>
      </c>
      <c r="F6" s="438"/>
      <c r="G6" s="438"/>
      <c r="H6" s="96"/>
      <c r="I6" s="451" t="s">
        <v>190</v>
      </c>
      <c r="J6" s="451"/>
      <c r="K6" s="451"/>
    </row>
    <row r="7" spans="1:13" ht="17.25" customHeight="1">
      <c r="A7" s="445" t="s">
        <v>8</v>
      </c>
      <c r="B7" s="445"/>
      <c r="C7" s="447" t="s">
        <v>6</v>
      </c>
      <c r="D7" s="210"/>
      <c r="E7" s="449" t="s">
        <v>28</v>
      </c>
      <c r="F7" s="98"/>
      <c r="G7" s="449" t="s">
        <v>29</v>
      </c>
      <c r="H7" s="96"/>
      <c r="I7" s="443" t="s">
        <v>6</v>
      </c>
      <c r="J7" s="445"/>
      <c r="K7" s="440" t="s">
        <v>18</v>
      </c>
    </row>
    <row r="8" spans="1:13" ht="11.25" customHeight="1" thickBot="1">
      <c r="A8" s="446"/>
      <c r="B8" s="445"/>
      <c r="C8" s="448"/>
      <c r="D8" s="210"/>
      <c r="E8" s="450"/>
      <c r="F8" s="96"/>
      <c r="G8" s="450"/>
      <c r="H8" s="96"/>
      <c r="I8" s="444"/>
      <c r="J8" s="445"/>
      <c r="K8" s="441"/>
    </row>
    <row r="9" spans="1:13" s="96" customFormat="1" ht="18">
      <c r="A9" s="204" t="s">
        <v>154</v>
      </c>
      <c r="B9" s="437"/>
      <c r="C9" s="308">
        <v>619125141378</v>
      </c>
      <c r="D9" s="308"/>
      <c r="E9" s="308">
        <v>506036011219</v>
      </c>
      <c r="F9" s="308"/>
      <c r="G9" s="308">
        <v>487095754148</v>
      </c>
      <c r="H9" s="308"/>
      <c r="I9" s="308">
        <f>C9+E9-G9</f>
        <v>638065398449</v>
      </c>
      <c r="K9" s="205">
        <f>I9/درآمدها!$J$7</f>
        <v>0.19665088613338108</v>
      </c>
      <c r="L9" s="99"/>
      <c r="M9" s="270"/>
    </row>
    <row r="10" spans="1:13" s="96" customFormat="1" ht="18">
      <c r="A10" s="204" t="s">
        <v>151</v>
      </c>
      <c r="B10" s="437"/>
      <c r="C10" s="308">
        <v>41600717941</v>
      </c>
      <c r="D10" s="308"/>
      <c r="E10" s="308">
        <v>558087303681</v>
      </c>
      <c r="F10" s="308"/>
      <c r="G10" s="308">
        <v>579818385800</v>
      </c>
      <c r="H10" s="308"/>
      <c r="I10" s="308">
        <f t="shared" ref="I10:I19" si="0">C10+E10-G10</f>
        <v>19869635822</v>
      </c>
      <c r="K10" s="205">
        <f>I10/درآمدها!$J$7</f>
        <v>6.1237946784794741E-3</v>
      </c>
      <c r="L10" s="99"/>
    </row>
    <row r="11" spans="1:13" s="96" customFormat="1" ht="18">
      <c r="A11" s="204" t="s">
        <v>152</v>
      </c>
      <c r="B11" s="206"/>
      <c r="C11" s="308">
        <v>152702393445</v>
      </c>
      <c r="D11" s="308"/>
      <c r="E11" s="308">
        <v>6654566247</v>
      </c>
      <c r="F11" s="308"/>
      <c r="G11" s="308">
        <v>6651750000</v>
      </c>
      <c r="H11" s="308"/>
      <c r="I11" s="308">
        <f t="shared" si="0"/>
        <v>152705209692</v>
      </c>
      <c r="K11" s="205">
        <f>I11/درآمدها!$J$7</f>
        <v>4.706353749335275E-2</v>
      </c>
      <c r="L11" s="99"/>
    </row>
    <row r="12" spans="1:13" s="96" customFormat="1" ht="18">
      <c r="A12" s="204" t="s">
        <v>155</v>
      </c>
      <c r="B12" s="437"/>
      <c r="C12" s="308">
        <v>342688962937</v>
      </c>
      <c r="D12" s="308"/>
      <c r="E12" s="308">
        <v>8904680638</v>
      </c>
      <c r="F12" s="308"/>
      <c r="G12" s="308">
        <v>8975079000</v>
      </c>
      <c r="H12" s="308"/>
      <c r="I12" s="308">
        <f t="shared" si="0"/>
        <v>342618564575</v>
      </c>
      <c r="K12" s="205">
        <f>I12/درآمدها!$J$7</f>
        <v>0.10559457462071753</v>
      </c>
      <c r="L12" s="99"/>
    </row>
    <row r="13" spans="1:13" s="96" customFormat="1" ht="18">
      <c r="A13" s="204" t="s">
        <v>150</v>
      </c>
      <c r="B13" s="437"/>
      <c r="C13" s="308">
        <v>62094002150</v>
      </c>
      <c r="D13" s="308"/>
      <c r="E13" s="308">
        <v>52326582249</v>
      </c>
      <c r="F13" s="308"/>
      <c r="G13" s="308">
        <v>86912580000</v>
      </c>
      <c r="H13" s="308"/>
      <c r="I13" s="308">
        <f t="shared" si="0"/>
        <v>27508004399</v>
      </c>
      <c r="K13" s="205">
        <f>I13/درآمدها!$J$7</f>
        <v>8.4779294629885316E-3</v>
      </c>
      <c r="L13" s="99"/>
    </row>
    <row r="14" spans="1:13" s="96" customFormat="1" ht="18">
      <c r="A14" s="204" t="s">
        <v>162</v>
      </c>
      <c r="B14" s="206"/>
      <c r="C14" s="308">
        <v>2153567</v>
      </c>
      <c r="D14" s="308"/>
      <c r="E14" s="308">
        <v>8520</v>
      </c>
      <c r="F14" s="308"/>
      <c r="G14" s="308">
        <v>0</v>
      </c>
      <c r="H14" s="308"/>
      <c r="I14" s="308">
        <f t="shared" si="0"/>
        <v>2162087</v>
      </c>
      <c r="K14" s="205">
        <f>I14/درآمدها!$J$7</f>
        <v>6.6635226652467883E-7</v>
      </c>
      <c r="L14" s="99"/>
    </row>
    <row r="15" spans="1:13" s="96" customFormat="1" ht="18">
      <c r="A15" s="204" t="s">
        <v>156</v>
      </c>
      <c r="B15" s="206"/>
      <c r="C15" s="308">
        <v>334507</v>
      </c>
      <c r="D15" s="308"/>
      <c r="E15" s="308">
        <v>0</v>
      </c>
      <c r="F15" s="308"/>
      <c r="G15" s="308">
        <v>0</v>
      </c>
      <c r="H15" s="308"/>
      <c r="I15" s="308">
        <f t="shared" si="0"/>
        <v>334507</v>
      </c>
      <c r="K15" s="205">
        <f>I15/درآمدها!$J$7</f>
        <v>1.0309460147458023E-7</v>
      </c>
      <c r="L15" s="99"/>
    </row>
    <row r="16" spans="1:13" s="96" customFormat="1" ht="18">
      <c r="A16" s="204" t="s">
        <v>176</v>
      </c>
      <c r="B16" s="206"/>
      <c r="C16" s="308">
        <v>75705402</v>
      </c>
      <c r="D16" s="308"/>
      <c r="E16" s="308">
        <v>299522</v>
      </c>
      <c r="F16" s="308"/>
      <c r="G16" s="308">
        <v>768000</v>
      </c>
      <c r="H16" s="308"/>
      <c r="I16" s="308">
        <f t="shared" si="0"/>
        <v>75236924</v>
      </c>
      <c r="K16" s="205">
        <f>I16/درآمدها!$J$7</f>
        <v>2.3187917430586748E-5</v>
      </c>
      <c r="L16" s="99"/>
    </row>
    <row r="17" spans="1:12" s="96" customFormat="1" ht="18">
      <c r="A17" s="204" t="s">
        <v>175</v>
      </c>
      <c r="B17" s="206"/>
      <c r="C17" s="308">
        <v>39861852</v>
      </c>
      <c r="D17" s="308"/>
      <c r="E17" s="308">
        <v>158355</v>
      </c>
      <c r="F17" s="308"/>
      <c r="G17" s="308">
        <v>0</v>
      </c>
      <c r="H17" s="308"/>
      <c r="I17" s="308">
        <f t="shared" si="0"/>
        <v>40020207</v>
      </c>
      <c r="K17" s="205">
        <f>I17/درآمدها!$J$7</f>
        <v>1.233417325076966E-5</v>
      </c>
      <c r="L17" s="99"/>
    </row>
    <row r="18" spans="1:12" s="96" customFormat="1" ht="18.75" customHeight="1">
      <c r="A18" s="204" t="s">
        <v>149</v>
      </c>
      <c r="B18" s="206"/>
      <c r="C18" s="308">
        <v>5800544</v>
      </c>
      <c r="D18" s="308"/>
      <c r="E18" s="308">
        <v>22948</v>
      </c>
      <c r="F18" s="308"/>
      <c r="G18" s="308">
        <v>705000</v>
      </c>
      <c r="H18" s="308"/>
      <c r="I18" s="308">
        <f t="shared" si="0"/>
        <v>5118492</v>
      </c>
      <c r="K18" s="205">
        <f>I18/درآمدها!$J$7</f>
        <v>1.577512258012021E-6</v>
      </c>
      <c r="L18" s="99"/>
    </row>
    <row r="19" spans="1:12" s="96" customFormat="1" ht="19.5" customHeight="1">
      <c r="A19" s="204" t="s">
        <v>161</v>
      </c>
      <c r="B19" s="206"/>
      <c r="C19" s="308">
        <v>243674</v>
      </c>
      <c r="D19" s="308"/>
      <c r="E19" s="308">
        <v>0</v>
      </c>
      <c r="F19" s="308"/>
      <c r="G19" s="308">
        <v>0</v>
      </c>
      <c r="H19" s="308"/>
      <c r="I19" s="308">
        <f t="shared" si="0"/>
        <v>243674</v>
      </c>
      <c r="K19" s="205">
        <f>I19/درآمدها!$J$7</f>
        <v>7.5099994677889741E-8</v>
      </c>
      <c r="L19" s="99"/>
    </row>
    <row r="20" spans="1:12" s="96" customFormat="1" ht="18.75" thickBot="1">
      <c r="A20" s="222"/>
      <c r="B20" s="60"/>
      <c r="C20" s="223">
        <f>SUM(C9:C19)</f>
        <v>1218335317397</v>
      </c>
      <c r="D20" s="218"/>
      <c r="E20" s="223">
        <f t="shared" ref="E20:K20" si="1">SUM(E9:E19)</f>
        <v>1132009633379</v>
      </c>
      <c r="F20" s="218">
        <f t="shared" si="1"/>
        <v>0</v>
      </c>
      <c r="G20" s="223">
        <f t="shared" si="1"/>
        <v>1169455021948</v>
      </c>
      <c r="H20" s="218">
        <f t="shared" si="1"/>
        <v>0</v>
      </c>
      <c r="I20" s="223">
        <f t="shared" si="1"/>
        <v>1180889928828</v>
      </c>
      <c r="J20" s="218">
        <f t="shared" si="1"/>
        <v>0</v>
      </c>
      <c r="K20" s="271">
        <f t="shared" si="1"/>
        <v>0.36394866653872138</v>
      </c>
    </row>
    <row r="21" spans="1:12" ht="18.75" thickTop="1">
      <c r="I21" s="172"/>
      <c r="K21" s="205"/>
    </row>
    <row r="22" spans="1:12">
      <c r="E22" s="172"/>
      <c r="G22" s="172"/>
      <c r="I22" s="61"/>
    </row>
    <row r="23" spans="1:12">
      <c r="D23" s="61"/>
      <c r="E23" s="61"/>
      <c r="F23" s="61"/>
      <c r="G23" s="61"/>
      <c r="H23" s="61"/>
      <c r="I23" s="61"/>
    </row>
    <row r="24" spans="1:12">
      <c r="E24" s="61"/>
      <c r="G24" s="61"/>
      <c r="I24" s="61"/>
    </row>
    <row r="25" spans="1:12">
      <c r="D25" s="61"/>
      <c r="E25" s="61"/>
      <c r="G25" s="61"/>
      <c r="I25" s="183"/>
    </row>
    <row r="26" spans="1:12">
      <c r="C26" s="183"/>
      <c r="D26" s="183"/>
      <c r="E26" s="183"/>
      <c r="F26" s="183"/>
      <c r="G26" s="183"/>
      <c r="H26" s="183"/>
      <c r="I26" s="183"/>
    </row>
    <row r="27" spans="1:12">
      <c r="B27" s="183"/>
      <c r="C27" s="183"/>
      <c r="D27" s="183"/>
      <c r="E27" s="183"/>
      <c r="F27" s="183"/>
      <c r="G27" s="183"/>
      <c r="H27" s="183"/>
      <c r="I27" s="183"/>
    </row>
    <row r="28" spans="1:12">
      <c r="A28" s="258"/>
      <c r="E28" s="172"/>
      <c r="G28" s="172"/>
      <c r="I28" s="172"/>
    </row>
    <row r="29" spans="1:12">
      <c r="E29" s="172"/>
      <c r="G29" s="172"/>
      <c r="I29" s="172"/>
    </row>
    <row r="30" spans="1:12">
      <c r="D30" s="61"/>
      <c r="E30" s="61"/>
      <c r="F30" s="61"/>
      <c r="G30" s="61"/>
      <c r="H30" s="61"/>
      <c r="I30" s="61"/>
    </row>
    <row r="34" spans="9:9" hidden="1"/>
    <row r="35" spans="9:9" hidden="1">
      <c r="I35" s="172">
        <v>2002583000000</v>
      </c>
    </row>
    <row r="36" spans="9:9" hidden="1">
      <c r="I36" s="172">
        <v>52365143846</v>
      </c>
    </row>
    <row r="37" spans="9:9" hidden="1">
      <c r="I37" s="183">
        <f>I35+I36-I20</f>
        <v>874058215018</v>
      </c>
    </row>
    <row r="38" spans="9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M39"/>
  <sheetViews>
    <sheetView rightToLeft="1" view="pageBreakPreview" zoomScale="110" zoomScaleNormal="100" zoomScaleSheetLayoutView="110" workbookViewId="0">
      <selection activeCell="C21" sqref="C21:G28"/>
    </sheetView>
  </sheetViews>
  <sheetFormatPr defaultColWidth="9.140625" defaultRowHeight="18"/>
  <cols>
    <col min="1" max="1" width="54.28515625" style="110" customWidth="1"/>
    <col min="2" max="2" width="1" style="110" customWidth="1"/>
    <col min="3" max="3" width="10.85546875" style="7" bestFit="1" customWidth="1"/>
    <col min="4" max="4" width="1.140625" style="7" customWidth="1"/>
    <col min="5" max="5" width="20" style="70" customWidth="1"/>
    <col min="6" max="6" width="1" style="7" customWidth="1"/>
    <col min="7" max="7" width="15.140625" style="7" customWidth="1"/>
    <col min="8" max="8" width="0.42578125" style="7" customWidth="1"/>
    <col min="9" max="9" width="17.5703125" style="7" bestFit="1" customWidth="1"/>
    <col min="10" max="10" width="25.7109375" style="156" customWidth="1"/>
    <col min="11" max="11" width="27" style="301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52" t="s">
        <v>75</v>
      </c>
      <c r="B1" s="452"/>
      <c r="C1" s="452"/>
      <c r="D1" s="452"/>
      <c r="E1" s="452"/>
      <c r="F1" s="452"/>
      <c r="G1" s="452"/>
      <c r="H1" s="452"/>
      <c r="I1" s="452"/>
      <c r="J1" s="146"/>
      <c r="K1" s="299"/>
    </row>
    <row r="2" spans="1:13" ht="21">
      <c r="A2" s="452" t="s">
        <v>42</v>
      </c>
      <c r="B2" s="452"/>
      <c r="C2" s="452"/>
      <c r="D2" s="452"/>
      <c r="E2" s="452"/>
      <c r="F2" s="452"/>
      <c r="G2" s="452"/>
      <c r="H2" s="452"/>
      <c r="I2" s="452"/>
      <c r="J2" s="153"/>
      <c r="K2" s="299"/>
    </row>
    <row r="3" spans="1:13" ht="21">
      <c r="A3" s="452" t="str">
        <f>سپرده!A3</f>
        <v>منتهی به 1405/01/31</v>
      </c>
      <c r="B3" s="452"/>
      <c r="C3" s="452"/>
      <c r="D3" s="452"/>
      <c r="E3" s="452"/>
      <c r="F3" s="452"/>
      <c r="G3" s="452"/>
      <c r="H3" s="452"/>
      <c r="I3" s="452"/>
      <c r="J3" s="146"/>
      <c r="K3" s="300"/>
    </row>
    <row r="4" spans="1:13" ht="21">
      <c r="A4" s="100" t="s">
        <v>23</v>
      </c>
      <c r="B4" s="101"/>
      <c r="C4" s="101"/>
      <c r="D4" s="101"/>
      <c r="E4" s="101"/>
      <c r="F4" s="101"/>
      <c r="G4" s="101"/>
      <c r="H4" s="101"/>
      <c r="I4" s="101"/>
      <c r="J4" s="146"/>
      <c r="K4" s="300"/>
      <c r="M4" s="102"/>
    </row>
    <row r="5" spans="1:13" ht="21.75" customHeight="1" thickBot="1">
      <c r="A5" s="100"/>
      <c r="B5" s="100"/>
      <c r="C5" s="100"/>
      <c r="D5" s="100"/>
      <c r="E5" s="451" t="str">
        <f>اوراق!Y6</f>
        <v xml:space="preserve"> 1405/01/31</v>
      </c>
      <c r="F5" s="451"/>
      <c r="G5" s="451"/>
      <c r="H5" s="451"/>
      <c r="I5" s="451"/>
      <c r="J5" s="146"/>
      <c r="K5" s="300"/>
    </row>
    <row r="6" spans="1:13" ht="21.75" customHeight="1" thickBot="1">
      <c r="A6" s="103" t="s">
        <v>30</v>
      </c>
      <c r="B6" s="104"/>
      <c r="C6" s="105" t="s">
        <v>31</v>
      </c>
      <c r="D6" s="98"/>
      <c r="E6" s="106" t="s">
        <v>6</v>
      </c>
      <c r="F6" s="98"/>
      <c r="G6" s="105" t="s">
        <v>16</v>
      </c>
      <c r="H6" s="98"/>
      <c r="I6" s="105" t="s">
        <v>74</v>
      </c>
      <c r="J6" s="146"/>
      <c r="K6" s="365" t="s">
        <v>171</v>
      </c>
    </row>
    <row r="7" spans="1:13" ht="21" customHeight="1">
      <c r="A7" s="273" t="s">
        <v>139</v>
      </c>
      <c r="B7" s="107"/>
      <c r="C7" s="211" t="s">
        <v>44</v>
      </c>
      <c r="D7" s="101"/>
      <c r="E7" s="308">
        <v>0</v>
      </c>
      <c r="F7" s="309"/>
      <c r="G7" s="310">
        <f>E7/$E$12</f>
        <v>0</v>
      </c>
      <c r="H7" s="311"/>
      <c r="I7" s="312">
        <f>E7/$J$7</f>
        <v>0</v>
      </c>
      <c r="J7" s="369">
        <v>3244660682669</v>
      </c>
      <c r="K7" s="370">
        <f>'درآمد سرمایه گذاری در سهام '!I11</f>
        <v>0</v>
      </c>
      <c r="L7" s="366" t="s">
        <v>172</v>
      </c>
      <c r="M7" s="114"/>
    </row>
    <row r="8" spans="1:13" ht="21" customHeight="1">
      <c r="A8" s="273" t="s">
        <v>140</v>
      </c>
      <c r="B8" s="107"/>
      <c r="C8" s="211" t="s">
        <v>45</v>
      </c>
      <c r="D8" s="101"/>
      <c r="E8" s="338">
        <f>'درآمد سرمایه گذاری در صندوق'!R17</f>
        <v>37344941138</v>
      </c>
      <c r="F8" s="309"/>
      <c r="G8" s="310">
        <f>E8/$E$12</f>
        <v>0.11451036560289206</v>
      </c>
      <c r="H8" s="311"/>
      <c r="I8" s="312">
        <f t="shared" ref="I8:I11" si="0">E8/$J$7</f>
        <v>1.1509659958427676E-2</v>
      </c>
      <c r="J8" s="371">
        <v>326173842797</v>
      </c>
      <c r="K8" s="372">
        <f>'درآمد سرمایه گذاری در صندوق'!I17</f>
        <v>6057277825</v>
      </c>
      <c r="L8" s="367" t="s">
        <v>173</v>
      </c>
      <c r="M8" s="114"/>
    </row>
    <row r="9" spans="1:13" ht="18.75" customHeight="1" thickBot="1">
      <c r="A9" s="273" t="s">
        <v>39</v>
      </c>
      <c r="B9" s="107"/>
      <c r="C9" s="211" t="s">
        <v>46</v>
      </c>
      <c r="D9" s="101"/>
      <c r="E9" s="338">
        <f>'درآمد سرمایه گذاری در اوراق بها'!Q16</f>
        <v>168104411899</v>
      </c>
      <c r="F9" s="309"/>
      <c r="G9" s="310">
        <f>E9/$E$12</f>
        <v>0.51545663427023847</v>
      </c>
      <c r="H9" s="311"/>
      <c r="I9" s="312">
        <f t="shared" si="0"/>
        <v>5.1809550624788384E-2</v>
      </c>
      <c r="J9" s="373">
        <v>85683670896</v>
      </c>
      <c r="K9" s="374">
        <f>'درآمد سرمایه گذاری در اوراق بها'!I16</f>
        <v>46690384514</v>
      </c>
      <c r="L9" s="368" t="s">
        <v>174</v>
      </c>
      <c r="M9" s="114"/>
    </row>
    <row r="10" spans="1:13" ht="18.75" customHeight="1">
      <c r="A10" s="273" t="s">
        <v>40</v>
      </c>
      <c r="B10" s="107"/>
      <c r="C10" s="211" t="s">
        <v>47</v>
      </c>
      <c r="D10" s="101"/>
      <c r="E10" s="338">
        <f>'درآمد سپرده بانکی'!G18</f>
        <v>120671948470</v>
      </c>
      <c r="F10" s="309"/>
      <c r="G10" s="310">
        <f>E10/$E$12</f>
        <v>0.37001501451698582</v>
      </c>
      <c r="H10" s="311"/>
      <c r="I10" s="312">
        <f t="shared" si="0"/>
        <v>3.7190930045337564E-2</v>
      </c>
      <c r="J10" s="353"/>
      <c r="K10" s="308">
        <f>'درآمد سپرده بانکی'!C18</f>
        <v>32768214887</v>
      </c>
      <c r="M10" s="114"/>
    </row>
    <row r="11" spans="1:13" ht="19.5" customHeight="1" thickBot="1">
      <c r="A11" s="273" t="s">
        <v>25</v>
      </c>
      <c r="B11" s="107"/>
      <c r="C11" s="211" t="s">
        <v>132</v>
      </c>
      <c r="D11" s="101"/>
      <c r="E11" s="339">
        <f>'سایر درآمدها'!E9</f>
        <v>5865596</v>
      </c>
      <c r="F11" s="309"/>
      <c r="G11" s="310">
        <f>E11/$E$12</f>
        <v>1.7985609883728214E-5</v>
      </c>
      <c r="H11" s="311"/>
      <c r="I11" s="312">
        <f t="shared" si="0"/>
        <v>1.8077686925262908E-6</v>
      </c>
      <c r="J11" s="353"/>
      <c r="K11" s="308">
        <f>'سایر درآمدها'!C9</f>
        <v>119327601</v>
      </c>
      <c r="M11" s="114"/>
    </row>
    <row r="12" spans="1:13" ht="19.5" customHeight="1" thickBot="1">
      <c r="A12" s="107"/>
      <c r="B12" s="109"/>
      <c r="C12" s="96"/>
      <c r="D12" s="96"/>
      <c r="E12" s="313">
        <f>SUM(E7:E11)</f>
        <v>326127167103</v>
      </c>
      <c r="F12" s="96"/>
      <c r="G12" s="314">
        <f>SUM(G7:G11)</f>
        <v>1</v>
      </c>
      <c r="H12" s="315"/>
      <c r="I12" s="316">
        <f>SUM(I7:I11)</f>
        <v>0.10051194839724616</v>
      </c>
      <c r="J12" s="353"/>
      <c r="K12" s="334">
        <f>SUM(K7:K11)</f>
        <v>85635204827</v>
      </c>
    </row>
    <row r="13" spans="1:13" ht="18.75" customHeight="1" thickTop="1">
      <c r="J13" s="108"/>
      <c r="K13" s="308"/>
    </row>
    <row r="14" spans="1:13" ht="18" hidden="1" customHeight="1">
      <c r="E14" s="112">
        <v>395980774895</v>
      </c>
      <c r="F14" s="112"/>
      <c r="G14" s="112"/>
      <c r="I14" s="113"/>
      <c r="J14" s="108"/>
      <c r="K14" s="308"/>
      <c r="L14" s="108"/>
      <c r="M14" s="114"/>
    </row>
    <row r="15" spans="1:13" ht="18" hidden="1" customHeight="1">
      <c r="E15" s="112">
        <v>-230079733</v>
      </c>
      <c r="F15" s="112"/>
      <c r="G15" s="112"/>
      <c r="J15" s="108"/>
      <c r="K15" s="308"/>
      <c r="L15" s="108"/>
      <c r="M15" s="114"/>
    </row>
    <row r="16" spans="1:13" ht="18" hidden="1" customHeight="1">
      <c r="E16" s="114">
        <f>E14+E15-E12</f>
        <v>69623528059</v>
      </c>
      <c r="F16" s="112"/>
      <c r="G16" s="112"/>
      <c r="H16" s="112"/>
      <c r="J16" s="155"/>
      <c r="K16" s="308"/>
      <c r="L16" s="108"/>
      <c r="M16" s="108"/>
    </row>
    <row r="17" spans="2:12" ht="18" hidden="1" customHeight="1">
      <c r="E17" s="115"/>
      <c r="F17" s="112"/>
      <c r="G17" s="112"/>
      <c r="I17" s="113"/>
      <c r="J17" s="116"/>
      <c r="K17" s="308"/>
      <c r="L17" s="113"/>
    </row>
    <row r="18" spans="2:12" ht="17.45" customHeight="1">
      <c r="B18" s="160">
        <v>-356455</v>
      </c>
      <c r="E18" s="112"/>
      <c r="F18" s="112"/>
      <c r="G18" s="112"/>
      <c r="I18" s="113"/>
      <c r="J18" s="116"/>
      <c r="K18" s="308"/>
    </row>
    <row r="19" spans="2:12" ht="17.45" hidden="1" customHeight="1">
      <c r="B19" s="160">
        <v>-205678</v>
      </c>
      <c r="E19" s="355">
        <v>86293818570</v>
      </c>
      <c r="F19" s="112"/>
      <c r="G19" s="112"/>
      <c r="K19" s="308">
        <v>86293818570</v>
      </c>
      <c r="L19" s="113"/>
    </row>
    <row r="20" spans="2:12" ht="17.45" hidden="1" customHeight="1">
      <c r="B20" s="160">
        <v>-566700</v>
      </c>
      <c r="E20" s="355">
        <f>E19-E12</f>
        <v>-239833348533</v>
      </c>
      <c r="K20" s="308">
        <f>K19-K12</f>
        <v>658613743</v>
      </c>
    </row>
    <row r="21" spans="2:12">
      <c r="B21" s="160">
        <v>-13277232</v>
      </c>
      <c r="C21" s="111"/>
      <c r="G21" s="111"/>
      <c r="J21" s="154"/>
    </row>
    <row r="22" spans="2:12">
      <c r="B22" s="160">
        <v>-44132676</v>
      </c>
      <c r="C22" s="114"/>
      <c r="G22" s="111"/>
      <c r="J22" s="154"/>
    </row>
    <row r="23" spans="2:12">
      <c r="B23" s="160">
        <v>-669467</v>
      </c>
      <c r="G23" s="111"/>
    </row>
    <row r="24" spans="2:12">
      <c r="B24" s="160">
        <v>-278224</v>
      </c>
      <c r="G24" s="114"/>
    </row>
    <row r="25" spans="2:12">
      <c r="B25" s="160">
        <v>-2331466</v>
      </c>
    </row>
    <row r="26" spans="2:12">
      <c r="B26" s="160">
        <v>-17573113</v>
      </c>
    </row>
    <row r="27" spans="2:12">
      <c r="B27" s="160">
        <v>-1408954</v>
      </c>
    </row>
    <row r="28" spans="2:12" ht="18.75" customHeight="1">
      <c r="B28" s="160">
        <v>-1015178</v>
      </c>
    </row>
    <row r="29" spans="2:12">
      <c r="B29" s="160">
        <v>-14498169</v>
      </c>
    </row>
    <row r="30" spans="2:12">
      <c r="B30" s="160">
        <v>-470772</v>
      </c>
    </row>
    <row r="31" spans="2:12">
      <c r="B31" s="160">
        <v>-854039</v>
      </c>
    </row>
    <row r="32" spans="2:12">
      <c r="B32" s="160">
        <v>-2219417</v>
      </c>
    </row>
    <row r="33" spans="2:2">
      <c r="B33" s="160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U19"/>
  <sheetViews>
    <sheetView rightToLeft="1" view="pageBreakPreview" zoomScale="60" zoomScaleNormal="100" workbookViewId="0">
      <selection activeCell="M8" sqref="M8:M9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57" t="s">
        <v>75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</row>
    <row r="2" spans="1:21" ht="27.75">
      <c r="A2" s="457" t="s">
        <v>48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1:21" ht="27.75">
      <c r="A3" s="457" t="str">
        <f>روکش!A21</f>
        <v>منتهی به 1405/01/31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</row>
    <row r="5" spans="1:21" s="38" customFormat="1" ht="27.75">
      <c r="A5" s="415" t="s">
        <v>24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53" t="s">
        <v>188</v>
      </c>
      <c r="D7" s="453"/>
      <c r="E7" s="453"/>
      <c r="F7" s="453"/>
      <c r="G7" s="453"/>
      <c r="H7" s="453"/>
      <c r="I7" s="453"/>
      <c r="J7" s="453"/>
      <c r="K7" s="453"/>
      <c r="L7" s="9"/>
      <c r="M7" s="453" t="s">
        <v>189</v>
      </c>
      <c r="N7" s="453"/>
      <c r="O7" s="453"/>
      <c r="P7" s="453"/>
      <c r="Q7" s="453"/>
      <c r="R7" s="453"/>
      <c r="S7" s="453"/>
      <c r="T7" s="453"/>
      <c r="U7" s="453"/>
    </row>
    <row r="8" spans="1:21" s="19" customFormat="1" ht="24.75" customHeight="1">
      <c r="A8" s="413" t="s">
        <v>20</v>
      </c>
      <c r="B8" s="413"/>
      <c r="C8" s="458" t="s">
        <v>9</v>
      </c>
      <c r="D8" s="411"/>
      <c r="E8" s="460" t="s">
        <v>10</v>
      </c>
      <c r="F8" s="454"/>
      <c r="G8" s="460" t="s">
        <v>11</v>
      </c>
      <c r="H8" s="466"/>
      <c r="I8" s="462" t="s">
        <v>2</v>
      </c>
      <c r="J8" s="462"/>
      <c r="K8" s="462"/>
      <c r="L8" s="413"/>
      <c r="M8" s="458" t="s">
        <v>9</v>
      </c>
      <c r="N8" s="463"/>
      <c r="O8" s="460" t="s">
        <v>10</v>
      </c>
      <c r="P8" s="454"/>
      <c r="Q8" s="460" t="s">
        <v>11</v>
      </c>
      <c r="R8" s="454"/>
      <c r="S8" s="462" t="s">
        <v>2</v>
      </c>
      <c r="T8" s="462"/>
      <c r="U8" s="462"/>
    </row>
    <row r="9" spans="1:21" s="19" customFormat="1" ht="6" customHeight="1" thickBot="1">
      <c r="A9" s="413"/>
      <c r="B9" s="413"/>
      <c r="C9" s="459"/>
      <c r="D9" s="413"/>
      <c r="E9" s="461"/>
      <c r="F9" s="455"/>
      <c r="G9" s="461"/>
      <c r="H9" s="467"/>
      <c r="I9" s="453"/>
      <c r="J9" s="453"/>
      <c r="K9" s="453"/>
      <c r="L9" s="413"/>
      <c r="M9" s="459"/>
      <c r="N9" s="464"/>
      <c r="O9" s="461"/>
      <c r="P9" s="455"/>
      <c r="Q9" s="461"/>
      <c r="R9" s="455"/>
      <c r="S9" s="453"/>
      <c r="T9" s="453"/>
      <c r="U9" s="453"/>
    </row>
    <row r="10" spans="1:21" s="19" customFormat="1" ht="42.75" customHeight="1" thickBot="1">
      <c r="A10" s="412"/>
      <c r="B10" s="413"/>
      <c r="C10" s="49" t="s">
        <v>51</v>
      </c>
      <c r="D10" s="413"/>
      <c r="E10" s="50" t="s">
        <v>52</v>
      </c>
      <c r="F10" s="456"/>
      <c r="G10" s="50" t="s">
        <v>53</v>
      </c>
      <c r="H10" s="467"/>
      <c r="I10" s="10" t="s">
        <v>6</v>
      </c>
      <c r="J10" s="191"/>
      <c r="K10" s="48" t="s">
        <v>16</v>
      </c>
      <c r="L10" s="413"/>
      <c r="M10" s="49" t="s">
        <v>51</v>
      </c>
      <c r="N10" s="465"/>
      <c r="O10" s="50" t="s">
        <v>52</v>
      </c>
      <c r="P10" s="456"/>
      <c r="Q10" s="50" t="s">
        <v>53</v>
      </c>
      <c r="R10" s="456"/>
      <c r="S10" s="11" t="s">
        <v>6</v>
      </c>
      <c r="T10" s="188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0"/>
      <c r="K11" s="56"/>
      <c r="M11" s="36"/>
      <c r="N11" s="24"/>
      <c r="O11" s="36"/>
      <c r="P11" s="24"/>
      <c r="Q11" s="36"/>
      <c r="R11" s="24"/>
      <c r="S11" s="36"/>
      <c r="T11" s="190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4"/>
  <sheetViews>
    <sheetView rightToLeft="1" view="pageBreakPreview" zoomScaleNormal="100" zoomScaleSheetLayoutView="100" workbookViewId="0">
      <selection activeCell="N23" sqref="N23"/>
    </sheetView>
  </sheetViews>
  <sheetFormatPr defaultColWidth="9.140625" defaultRowHeight="15.75"/>
  <cols>
    <col min="1" max="1" width="22.42578125" style="173" customWidth="1"/>
    <col min="2" max="2" width="0.5703125" style="173" customWidth="1"/>
    <col min="3" max="3" width="12.42578125" style="173" customWidth="1"/>
    <col min="4" max="4" width="0.42578125" style="173" customWidth="1"/>
    <col min="5" max="5" width="18.28515625" style="173" bestFit="1" customWidth="1"/>
    <col min="6" max="6" width="0.85546875" style="173" customWidth="1"/>
    <col min="7" max="7" width="8.7109375" style="173" bestFit="1" customWidth="1"/>
    <col min="8" max="8" width="0.7109375" style="173" customWidth="1"/>
    <col min="9" max="9" width="18.28515625" style="173" bestFit="1" customWidth="1"/>
    <col min="10" max="10" width="9" style="173" bestFit="1" customWidth="1"/>
    <col min="11" max="11" width="0.7109375" style="173" customWidth="1"/>
    <col min="12" max="12" width="12.7109375" style="173" bestFit="1" customWidth="1"/>
    <col min="13" max="13" width="0.5703125" style="173" customWidth="1"/>
    <col min="14" max="14" width="18.28515625" style="173" bestFit="1" customWidth="1"/>
    <col min="15" max="15" width="0.85546875" style="173" customWidth="1"/>
    <col min="16" max="16" width="15" style="173" bestFit="1" customWidth="1"/>
    <col min="17" max="17" width="0.85546875" style="173" customWidth="1"/>
    <col min="18" max="18" width="18.28515625" style="173" bestFit="1" customWidth="1"/>
    <col min="19" max="19" width="11.85546875" style="173" customWidth="1"/>
    <col min="20" max="20" width="9.140625" style="173"/>
    <col min="21" max="21" width="18" style="173" bestFit="1" customWidth="1"/>
    <col min="22" max="16384" width="9.140625" style="173"/>
  </cols>
  <sheetData>
    <row r="1" spans="1:21" ht="21">
      <c r="A1" s="475" t="s">
        <v>75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</row>
    <row r="2" spans="1:21" ht="21">
      <c r="A2" s="475" t="s">
        <v>48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</row>
    <row r="3" spans="1:21" ht="21">
      <c r="A3" s="475" t="str">
        <f>روکش!A21</f>
        <v>منتهی به 1405/01/31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  <c r="S3" s="475"/>
    </row>
    <row r="5" spans="1:21" ht="25.5">
      <c r="A5" s="476" t="s">
        <v>191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</row>
    <row r="7" spans="1:21" ht="19.5" customHeight="1" thickBot="1">
      <c r="A7" s="174"/>
      <c r="B7" s="175"/>
      <c r="C7" s="469" t="s">
        <v>188</v>
      </c>
      <c r="D7" s="469"/>
      <c r="E7" s="469"/>
      <c r="F7" s="469"/>
      <c r="G7" s="469"/>
      <c r="H7" s="469"/>
      <c r="I7" s="469"/>
      <c r="J7" s="469"/>
      <c r="K7" s="175"/>
      <c r="L7" s="469" t="s">
        <v>189</v>
      </c>
      <c r="M7" s="469"/>
      <c r="N7" s="469"/>
      <c r="O7" s="469"/>
      <c r="P7" s="469"/>
      <c r="Q7" s="469"/>
      <c r="R7" s="469"/>
      <c r="S7" s="469"/>
    </row>
    <row r="8" spans="1:21" ht="19.5" customHeight="1">
      <c r="A8" s="471" t="s">
        <v>126</v>
      </c>
      <c r="B8" s="473"/>
      <c r="C8" s="468" t="s">
        <v>127</v>
      </c>
      <c r="D8" s="470"/>
      <c r="E8" s="468" t="s">
        <v>10</v>
      </c>
      <c r="F8" s="470"/>
      <c r="G8" s="468" t="s">
        <v>11</v>
      </c>
      <c r="H8" s="472"/>
      <c r="I8" s="468" t="s">
        <v>2</v>
      </c>
      <c r="J8" s="468"/>
      <c r="K8" s="473"/>
      <c r="L8" s="468" t="s">
        <v>127</v>
      </c>
      <c r="M8" s="470"/>
      <c r="N8" s="468" t="s">
        <v>10</v>
      </c>
      <c r="O8" s="470"/>
      <c r="P8" s="468" t="s">
        <v>11</v>
      </c>
      <c r="Q8" s="472"/>
      <c r="R8" s="468" t="s">
        <v>2</v>
      </c>
      <c r="S8" s="468"/>
      <c r="U8" s="296"/>
    </row>
    <row r="9" spans="1:21" ht="13.5" customHeight="1" thickBot="1">
      <c r="A9" s="471"/>
      <c r="B9" s="473"/>
      <c r="C9" s="469"/>
      <c r="D9" s="471"/>
      <c r="E9" s="469"/>
      <c r="F9" s="471"/>
      <c r="G9" s="469"/>
      <c r="H9" s="473"/>
      <c r="I9" s="469"/>
      <c r="J9" s="469"/>
      <c r="K9" s="473"/>
      <c r="L9" s="469"/>
      <c r="M9" s="471"/>
      <c r="N9" s="469"/>
      <c r="O9" s="471"/>
      <c r="P9" s="469"/>
      <c r="Q9" s="473"/>
      <c r="R9" s="469"/>
      <c r="S9" s="469"/>
    </row>
    <row r="10" spans="1:21" ht="28.5" customHeight="1" thickBot="1">
      <c r="A10" s="474"/>
      <c r="B10" s="473"/>
      <c r="C10" s="335" t="s">
        <v>128</v>
      </c>
      <c r="D10" s="471"/>
      <c r="E10" s="335" t="s">
        <v>52</v>
      </c>
      <c r="F10" s="471"/>
      <c r="G10" s="335" t="s">
        <v>53</v>
      </c>
      <c r="H10" s="473"/>
      <c r="I10" s="256" t="s">
        <v>6</v>
      </c>
      <c r="J10" s="256" t="s">
        <v>129</v>
      </c>
      <c r="K10" s="473"/>
      <c r="L10" s="335" t="s">
        <v>128</v>
      </c>
      <c r="M10" s="471"/>
      <c r="N10" s="335" t="s">
        <v>52</v>
      </c>
      <c r="O10" s="471"/>
      <c r="P10" s="335" t="s">
        <v>53</v>
      </c>
      <c r="Q10" s="473"/>
      <c r="R10" s="177" t="s">
        <v>6</v>
      </c>
      <c r="S10" s="177" t="s">
        <v>129</v>
      </c>
    </row>
    <row r="11" spans="1:21" ht="24.75" customHeight="1">
      <c r="A11" s="195" t="s">
        <v>141</v>
      </c>
      <c r="B11" s="176"/>
      <c r="C11" s="195"/>
      <c r="D11" s="176"/>
      <c r="E11" s="60">
        <f>_xlfn.XLOOKUP(A11,'درآمد ناشی از تغییر قیمت اوراق '!$A$7:$A$12,'درآمد ناشی از تغییر قیمت اوراق '!$I$7:$I$12,0)</f>
        <v>-321734000</v>
      </c>
      <c r="F11" s="60"/>
      <c r="G11" s="60">
        <f>_xlfn.XLOOKUP(A11,'درآمد ناشی ازفروش'!$A$7,'درآمد ناشی ازفروش'!$I$7,0)</f>
        <v>0</v>
      </c>
      <c r="H11" s="60"/>
      <c r="I11" s="60">
        <f>C11+E11+G11</f>
        <v>-321734000</v>
      </c>
      <c r="J11" s="328">
        <f>I11/درآمدها!$J$9</f>
        <v>-3.7549044833817876E-3</v>
      </c>
      <c r="K11" s="329"/>
      <c r="L11" s="330"/>
      <c r="M11" s="329"/>
      <c r="N11" s="60">
        <f>_xlfn.XLOOKUP(A11,'درآمد ناشی از تغییر قیمت اوراق '!$A$7:$A$12,'درآمد ناشی از تغییر قیمت اوراق '!$Q$7:$Q$12,0)</f>
        <v>6331486000</v>
      </c>
      <c r="O11" s="60"/>
      <c r="P11" s="60">
        <f>_xlfn.XLOOKUP(A11,'درآمد ناشی ازفروش'!$A$7,'درآمد ناشی ازفروش'!$Q$7,0)</f>
        <v>403489552</v>
      </c>
      <c r="Q11" s="60"/>
      <c r="R11" s="60">
        <f>L11+N11+P11</f>
        <v>6734975552</v>
      </c>
      <c r="S11" s="328">
        <f>R11/درآمدها!$J$7</f>
        <v>2.0757102855081689E-3</v>
      </c>
    </row>
    <row r="12" spans="1:21" ht="24.75" customHeight="1">
      <c r="A12" s="195" t="s">
        <v>138</v>
      </c>
      <c r="B12" s="176"/>
      <c r="C12" s="195"/>
      <c r="D12" s="176"/>
      <c r="E12" s="60">
        <f>_xlfn.XLOOKUP(A12,'درآمد ناشی از تغییر قیمت اوراق '!$A$7:$A$12,'درآمد ناشی از تغییر قیمت اوراق '!$I$7:$I$12,0)</f>
        <v>1429610353</v>
      </c>
      <c r="F12" s="60"/>
      <c r="G12" s="60">
        <f>_xlfn.XLOOKUP(A12,'درآمد ناشی ازفروش'!$A$7,'درآمد ناشی ازفروش'!$I$7,0)</f>
        <v>0</v>
      </c>
      <c r="H12" s="60"/>
      <c r="I12" s="60">
        <f t="shared" ref="I12:I16" si="0">C12+E12+G12</f>
        <v>1429610353</v>
      </c>
      <c r="J12" s="328">
        <f>I12/درآمدها!$J$9</f>
        <v>1.6684746790729982E-2</v>
      </c>
      <c r="K12" s="329"/>
      <c r="L12" s="330"/>
      <c r="M12" s="329"/>
      <c r="N12" s="60">
        <f>_xlfn.XLOOKUP(A12,'درآمد ناشی از تغییر قیمت اوراق '!$A$7:$A$12,'درآمد ناشی از تغییر قیمت اوراق '!$Q$7:$Q$12,0)</f>
        <v>5922999892</v>
      </c>
      <c r="O12" s="60"/>
      <c r="P12" s="60">
        <f>_xlfn.XLOOKUP(A12,'درآمد ناشی ازفروش'!$A$7,'درآمد ناشی ازفروش'!$Q$7,0)</f>
        <v>0</v>
      </c>
      <c r="Q12" s="60"/>
      <c r="R12" s="60">
        <f t="shared" ref="R12:R16" si="1">L12+N12+P12</f>
        <v>5922999892</v>
      </c>
      <c r="S12" s="328">
        <f>R12/درآمدها!$J$7</f>
        <v>1.8254604938004939E-3</v>
      </c>
    </row>
    <row r="13" spans="1:21" ht="24.75" customHeight="1">
      <c r="A13" s="195" t="s">
        <v>168</v>
      </c>
      <c r="B13" s="176"/>
      <c r="C13" s="195"/>
      <c r="D13" s="176"/>
      <c r="E13" s="60">
        <f>_xlfn.XLOOKUP(A13,'درآمد ناشی از تغییر قیمت اوراق '!$A$7:$A$12,'درآمد ناشی از تغییر قیمت اوراق '!$I$7:$I$12,0)</f>
        <v>954066043</v>
      </c>
      <c r="F13" s="60"/>
      <c r="G13" s="60">
        <f>_xlfn.XLOOKUP(A13,'درآمد ناشی ازفروش'!$A$7,'درآمد ناشی ازفروش'!$I$7,0)</f>
        <v>0</v>
      </c>
      <c r="H13" s="60"/>
      <c r="I13" s="60">
        <f t="shared" si="0"/>
        <v>954066043</v>
      </c>
      <c r="J13" s="328">
        <f>I13/درآمدها!$J$9</f>
        <v>1.1134747531510569E-2</v>
      </c>
      <c r="K13" s="329"/>
      <c r="L13" s="330"/>
      <c r="M13" s="329"/>
      <c r="N13" s="60">
        <f>_xlfn.XLOOKUP(A13,'درآمد ناشی از تغییر قیمت اوراق '!$A$7:$A$12,'درآمد ناشی از تغییر قیمت اوراق '!$Q$7:$Q$12,0)</f>
        <v>5927735872</v>
      </c>
      <c r="O13" s="60"/>
      <c r="P13" s="60">
        <f>_xlfn.XLOOKUP(A13,'درآمد ناشی ازفروش'!$A$7,'درآمد ناشی ازفروش'!$Q$7,0)</f>
        <v>0</v>
      </c>
      <c r="Q13" s="60"/>
      <c r="R13" s="60">
        <f t="shared" si="1"/>
        <v>5927735872</v>
      </c>
      <c r="S13" s="328">
        <f>R13/درآمدها!$J$7</f>
        <v>1.826920116381461E-3</v>
      </c>
    </row>
    <row r="14" spans="1:21" ht="24.75" customHeight="1">
      <c r="A14" s="195" t="s">
        <v>147</v>
      </c>
      <c r="B14" s="176"/>
      <c r="C14" s="195"/>
      <c r="D14" s="176"/>
      <c r="E14" s="60">
        <f>_xlfn.XLOOKUP(A14,'درآمد ناشی از تغییر قیمت اوراق '!$A$7:$A$12,'درآمد ناشی از تغییر قیمت اوراق '!$I$7:$I$12,0)</f>
        <v>1753903218</v>
      </c>
      <c r="F14" s="60"/>
      <c r="G14" s="60">
        <f>_xlfn.XLOOKUP(A14,'درآمد ناشی ازفروش'!$A$7,'درآمد ناشی ازفروش'!$I$7,0)</f>
        <v>0</v>
      </c>
      <c r="H14" s="60"/>
      <c r="I14" s="60">
        <f t="shared" si="0"/>
        <v>1753903218</v>
      </c>
      <c r="J14" s="328">
        <f>I14/درآمدها!$J$9</f>
        <v>2.0469515365755392E-2</v>
      </c>
      <c r="K14" s="329"/>
      <c r="L14" s="330"/>
      <c r="M14" s="329"/>
      <c r="N14" s="60">
        <f>_xlfn.XLOOKUP(A14,'درآمد ناشی از تغییر قیمت اوراق '!$A$7:$A$12,'درآمد ناشی از تغییر قیمت اوراق '!$Q$7:$Q$12,0)</f>
        <v>7287320896</v>
      </c>
      <c r="O14" s="60"/>
      <c r="P14" s="60">
        <f>_xlfn.XLOOKUP(A14,'درآمد ناشی ازفروش'!$A$7,'درآمد ناشی ازفروش'!$Q$7,0)</f>
        <v>0</v>
      </c>
      <c r="Q14" s="60"/>
      <c r="R14" s="60">
        <f t="shared" si="1"/>
        <v>7287320896</v>
      </c>
      <c r="S14" s="328">
        <f>R14/درآمدها!$J$7</f>
        <v>2.2459423676948493E-3</v>
      </c>
    </row>
    <row r="15" spans="1:21" ht="24.75" customHeight="1">
      <c r="A15" s="195" t="s">
        <v>169</v>
      </c>
      <c r="B15" s="176"/>
      <c r="C15" s="195"/>
      <c r="D15" s="176"/>
      <c r="E15" s="60">
        <f>_xlfn.XLOOKUP(A15,'درآمد ناشی از تغییر قیمت اوراق '!$A$7:$A$12,'درآمد ناشی از تغییر قیمت اوراق '!$I$7:$I$12,0)</f>
        <v>1383390844</v>
      </c>
      <c r="F15" s="60"/>
      <c r="G15" s="60">
        <f>_xlfn.XLOOKUP(A15,'درآمد ناشی ازفروش'!$A$7,'درآمد ناشی ازفروش'!$I$7,0)</f>
        <v>0</v>
      </c>
      <c r="H15" s="60"/>
      <c r="I15" s="60">
        <f t="shared" si="0"/>
        <v>1383390844</v>
      </c>
      <c r="J15" s="328">
        <f>I15/درآمدها!$J$9</f>
        <v>1.6145326519438154E-2</v>
      </c>
      <c r="K15" s="329"/>
      <c r="L15" s="330"/>
      <c r="M15" s="329"/>
      <c r="N15" s="60">
        <f>_xlfn.XLOOKUP(A15,'درآمد ناشی از تغییر قیمت اوراق '!$A$7:$A$12,'درآمد ناشی از تغییر قیمت اوراق '!$Q$7:$Q$12,0)</f>
        <v>5750282279</v>
      </c>
      <c r="O15" s="60"/>
      <c r="P15" s="60">
        <f>_xlfn.XLOOKUP(A15,'درآمد ناشی ازفروش'!$A$7,'درآمد ناشی ازفروش'!$Q$7,0)</f>
        <v>0</v>
      </c>
      <c r="Q15" s="60"/>
      <c r="R15" s="60">
        <f t="shared" si="1"/>
        <v>5750282279</v>
      </c>
      <c r="S15" s="328">
        <f>R15/درآمدها!$J$7</f>
        <v>1.7722291608840651E-3</v>
      </c>
    </row>
    <row r="16" spans="1:21" ht="24.75" customHeight="1">
      <c r="A16" s="195" t="s">
        <v>170</v>
      </c>
      <c r="B16" s="176"/>
      <c r="C16" s="195"/>
      <c r="D16" s="176"/>
      <c r="E16" s="60">
        <f>_xlfn.XLOOKUP(A16,'درآمد ناشی از تغییر قیمت اوراق '!$A$7:$A$12,'درآمد ناشی از تغییر قیمت اوراق '!$I$7:$I$12,0)</f>
        <v>858041367</v>
      </c>
      <c r="F16" s="60"/>
      <c r="G16" s="60">
        <f>_xlfn.XLOOKUP(A16,'درآمد ناشی ازفروش'!$A$7,'درآمد ناشی ازفروش'!$I$7,0)</f>
        <v>0</v>
      </c>
      <c r="H16" s="60"/>
      <c r="I16" s="60">
        <f t="shared" si="0"/>
        <v>858041367</v>
      </c>
      <c r="J16" s="328">
        <f>I16/درآمدها!$J$9</f>
        <v>1.0014059365424039E-2</v>
      </c>
      <c r="K16" s="329"/>
      <c r="L16" s="330"/>
      <c r="M16" s="329"/>
      <c r="N16" s="60">
        <f>_xlfn.XLOOKUP(A16,'درآمد ناشی از تغییر قیمت اوراق '!$A$7:$A$12,'درآمد ناشی از تغییر قیمت اوراق '!$Q$7:$Q$12,0)</f>
        <v>5721626647</v>
      </c>
      <c r="O16" s="60"/>
      <c r="P16" s="60">
        <f>_xlfn.XLOOKUP(A16,'درآمد ناشی ازفروش'!$A$7,'درآمد ناشی ازفروش'!$Q$7,0)</f>
        <v>0</v>
      </c>
      <c r="Q16" s="60"/>
      <c r="R16" s="60">
        <f t="shared" si="1"/>
        <v>5721626647</v>
      </c>
      <c r="S16" s="328">
        <f>R16/درآمدها!$J$7</f>
        <v>1.7633975341586386E-3</v>
      </c>
    </row>
    <row r="17" spans="1:19" ht="19.5" customHeight="1" thickBot="1">
      <c r="A17" s="178"/>
      <c r="B17" s="176"/>
      <c r="C17" s="179"/>
      <c r="D17" s="295"/>
      <c r="E17" s="247">
        <f>SUM(E11:E16)</f>
        <v>6057277825</v>
      </c>
      <c r="F17" s="60"/>
      <c r="G17" s="247">
        <f>SUM(G11:G16)</f>
        <v>0</v>
      </c>
      <c r="H17" s="60"/>
      <c r="I17" s="247">
        <f>SUM(I11:I16)</f>
        <v>6057277825</v>
      </c>
      <c r="J17" s="331">
        <f>SUM(J11:J16)</f>
        <v>7.0693491089476354E-2</v>
      </c>
      <c r="K17" s="332"/>
      <c r="L17" s="333"/>
      <c r="M17" s="332"/>
      <c r="N17" s="247">
        <f>SUM(N11:N16)</f>
        <v>36941451586</v>
      </c>
      <c r="O17" s="60"/>
      <c r="P17" s="247">
        <f>SUM(P11:P16)</f>
        <v>403489552</v>
      </c>
      <c r="Q17" s="60"/>
      <c r="R17" s="247">
        <f>SUM(R11:R16)</f>
        <v>37344941138</v>
      </c>
      <c r="S17" s="331">
        <f>SUM(S11:S16)</f>
        <v>1.1509659958427676E-2</v>
      </c>
    </row>
    <row r="18" spans="1:19" ht="16.5" thickTop="1"/>
    <row r="19" spans="1:19" hidden="1">
      <c r="E19" s="213">
        <v>4451239494</v>
      </c>
    </row>
    <row r="20" spans="1:19" hidden="1">
      <c r="E20" s="214">
        <f>E19-E17</f>
        <v>-1606038331</v>
      </c>
    </row>
    <row r="21" spans="1:19" hidden="1"/>
    <row r="23" spans="1:19">
      <c r="E23" s="213"/>
      <c r="G23" s="213"/>
      <c r="N23" s="213"/>
      <c r="P23" s="213"/>
    </row>
    <row r="24" spans="1:19">
      <c r="I24" s="214"/>
      <c r="N24" s="214"/>
      <c r="P24" s="214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j h + X H d L x I e l A A A A 9 w A A A B I A H A B D b 2 5 m a W c v U G F j a 2 F n Z S 5 4 b W w g o h g A K K A U A A A A A A A A A A A A A A A A A A A A A A A A A A A A h Y + x D o I w G I R f h X S n L S U x S k o Z X C U x I R r X p l R o h B 9 D i + X d H H w k X 0 G M o m 6 O d / d d c n e / 3 n g 2 t k 1 w 0 b 0 1 H a Q o w h Q F G l R X G q h S N L h j u E S Z 4 F u p T r L S w Q S D T U Z r U l Q 7 d 0 4 I 8 d 5 j H + O u r w i j N C K H f F O o W r c y N G C d B K X R p 1 X + b y H B 9 6 8 x g u H V A s c s Y j G m n M w u z w 1 8 C T Y N f q Y / J l 8 P j R t 6 L T S E u 4 K T W X L y P i E e U E s D B B Q A A g A I A I 4 4 f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O H 5 c K I p H u A 4 A A A A R A A A A E w A c A E Z v c m 1 1 b G F z L 1 N l Y 3 R p b 2 4 x L m 0 g o h g A K K A U A A A A A A A A A A A A A A A A A A A A A A A A A A A A K 0 5 N L s n M z 1 M I h t C G 1 g B Q S w E C L Q A U A A I A C A C O O H 5 c d 0 v E h 6 U A A A D 3 A A A A E g A A A A A A A A A A A A A A A A A A A A A A Q 2 9 u Z m l n L 1 B h Y 2 t h Z 2 U u e G 1 s U E s B A i 0 A F A A C A A g A j j h + X A / K 6 a u k A A A A 6 Q A A A B M A A A A A A A A A A A A A A A A A 8 Q A A A F t D b 2 5 0 Z W 5 0 X 1 R 5 c G V z X S 5 4 b W x Q S w E C L Q A U A A I A C A C O O H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V Q c k / 6 v 5 E W y n y c P 5 A W + T Q A A A A A C A A A A A A A Q Z g A A A A E A A C A A A A D R r V N 1 5 S Y p T w W O v 0 r 5 s M X R 0 8 V r 7 5 W 9 A T V w s r V L X p 4 k L Q A A A A A O g A A A A A I A A C A A A A C N L R 5 S C Y / t 2 K l f 2 I J w C m p 7 Y u 8 x W 5 r T v j J V W w t d X Y v v q F A A A A A B C I p 8 x i w 2 D s T J k d W 4 R b R J R D r T b Q l L B x j 8 G f 2 y Y n w 4 i Y 4 t v / p w r F i B d D n h O k + a x N G e e H c u A f 8 D z N 0 u O H m Z 5 9 f C t D H B 2 W 6 a 8 x X 3 Q B 4 e B Y H 8 Q E A A A A A f H V 6 q y p E P M n U 8 u Y T C Q S F Z c E G n e Z f / K M B 2 y i f V E V C o C 5 z L 3 L B 8 6 B r a o n 4 / a d 2 C Q J t O c W l 3 B 1 t u m Y d F x l N q z V F f < / D a t a M a s h u p > 
</file>

<file path=customXml/itemProps1.xml><?xml version="1.0" encoding="utf-8"?>
<ds:datastoreItem xmlns:ds="http://schemas.openxmlformats.org/officeDocument/2006/customXml" ds:itemID="{49857B93-C517-4BD7-8D1F-4FC6757CA8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صندوق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مبالغ تخصیصی اوراق </vt:lpstr>
      <vt:lpstr>درآمد سود سهام</vt:lpstr>
      <vt:lpstr>سایر درآمدها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Ehsan Najafi</cp:lastModifiedBy>
  <cp:lastPrinted>2026-01-27T11:35:55Z</cp:lastPrinted>
  <dcterms:created xsi:type="dcterms:W3CDTF">2017-11-22T14:26:20Z</dcterms:created>
  <dcterms:modified xsi:type="dcterms:W3CDTF">2026-04-26T06:10:08Z</dcterms:modified>
</cp:coreProperties>
</file>