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3\01\"/>
    </mc:Choice>
  </mc:AlternateContent>
  <xr:revisionPtr revIDLastSave="0" documentId="13_ncr:1_{DC11ADD0-D14C-4F30-BDCC-5830B12002FE}" xr6:coauthVersionLast="47" xr6:coauthVersionMax="47" xr10:uidLastSave="{00000000-0000-0000-0000-000000000000}"/>
  <bookViews>
    <workbookView xWindow="-120" yWindow="-120" windowWidth="24240" windowHeight="13140" tabRatio="914" firstSheet="7" activeTab="7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ود سهام" sheetId="18" r:id="rId7"/>
    <sheet name="سود اوراق بهادار و سپرده بانکی" sheetId="13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6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سپرده!$A$8:$S$51</definedName>
    <definedName name="_xlnm._FilterDatabase" localSheetId="7" hidden="1">'سود اوراق بهادار و سپرده بانکی'!$A$6:$Q$88</definedName>
    <definedName name="A">'سود اوراق بهادار و سپرده بانکی'!$A$7:$Q$89</definedName>
    <definedName name="_xlnm.Print_Area" localSheetId="1">' سهام'!$A$1:$W$12</definedName>
    <definedName name="_xlnm.Print_Area" localSheetId="2">اوراق!$A$1:$AG$16</definedName>
    <definedName name="_xlnm.Print_Area" localSheetId="3">'تعدیل اوراق'!$A$1:$M$12</definedName>
    <definedName name="_xlnm.Print_Area" localSheetId="12">'درآمد سپرده بانکی'!$A$1:$L$85</definedName>
    <definedName name="_xlnm.Print_Area" localSheetId="11">'درآمد سرمایه گذاری در اوراق بها'!$A$1:$Q$19</definedName>
    <definedName name="_xlnm.Print_Area" localSheetId="10">'درآمد سرمایه گذاری در سهام '!$A$1:$U$13</definedName>
    <definedName name="_xlnm.Print_Area" localSheetId="6">'درآمد سود سهام'!$A$1:$S$11</definedName>
    <definedName name="_xlnm.Print_Area" localSheetId="9">'درآمد ناشی از تغییر قیمت اوراق '!$A$1:$Q$15</definedName>
    <definedName name="_xlnm.Print_Area" localSheetId="8">'درآمد ناشی ازفروش'!$A$1:$Q$14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سپرده!$A$1:$S$51</definedName>
    <definedName name="_xlnm.Print_Area" localSheetId="7">'سود اوراق بهادار و سپرده بانکی'!$A$1:$Q$89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5" l="1"/>
  <c r="Q7" i="15"/>
  <c r="Q11" i="15" l="1"/>
  <c r="K11" i="19" l="1"/>
  <c r="K10" i="19"/>
  <c r="K9" i="19"/>
  <c r="E9" i="8"/>
  <c r="E10" i="11" s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9" i="2"/>
  <c r="Q8" i="14"/>
  <c r="Q9" i="14"/>
  <c r="Q10" i="14"/>
  <c r="Q11" i="14"/>
  <c r="Q12" i="14"/>
  <c r="Q7" i="14"/>
  <c r="I8" i="14"/>
  <c r="I9" i="14"/>
  <c r="I10" i="14"/>
  <c r="I11" i="14"/>
  <c r="I12" i="14"/>
  <c r="I7" i="14"/>
  <c r="Q8" i="15"/>
  <c r="Q9" i="15"/>
  <c r="Q10" i="15"/>
  <c r="I7" i="15"/>
  <c r="I8" i="15"/>
  <c r="I9" i="15"/>
  <c r="I10" i="15"/>
  <c r="I11" i="15"/>
  <c r="O13" i="14"/>
  <c r="M13" i="14"/>
  <c r="G13" i="14"/>
  <c r="E13" i="14"/>
  <c r="M12" i="15"/>
  <c r="G12" i="15"/>
  <c r="E12" i="15"/>
  <c r="O89" i="13"/>
  <c r="I89" i="13"/>
  <c r="Q8" i="13"/>
  <c r="Q9" i="13"/>
  <c r="Q10" i="13"/>
  <c r="Q11" i="13"/>
  <c r="Q12" i="13"/>
  <c r="Q13" i="13"/>
  <c r="Q14" i="13"/>
  <c r="Q15" i="13"/>
  <c r="Q16" i="13"/>
  <c r="Q18" i="13"/>
  <c r="Q19" i="13"/>
  <c r="Q20" i="13"/>
  <c r="Q21" i="13"/>
  <c r="Q22" i="13"/>
  <c r="Q23" i="13"/>
  <c r="Q24" i="13"/>
  <c r="Q25" i="13"/>
  <c r="Q27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3" i="13"/>
  <c r="Q74" i="13"/>
  <c r="Q76" i="13"/>
  <c r="Q77" i="13"/>
  <c r="Q78" i="13"/>
  <c r="Q79" i="13"/>
  <c r="Q80" i="13"/>
  <c r="Q81" i="13"/>
  <c r="Q83" i="13"/>
  <c r="Q84" i="13"/>
  <c r="Q85" i="13"/>
  <c r="Q86" i="13"/>
  <c r="Q87" i="13"/>
  <c r="Q88" i="13"/>
  <c r="K8" i="13"/>
  <c r="K9" i="13"/>
  <c r="K10" i="13"/>
  <c r="K11" i="13"/>
  <c r="K12" i="13"/>
  <c r="K13" i="13"/>
  <c r="K14" i="13"/>
  <c r="K15" i="13"/>
  <c r="K16" i="13"/>
  <c r="K18" i="13"/>
  <c r="K19" i="13"/>
  <c r="K20" i="13"/>
  <c r="K21" i="13"/>
  <c r="K22" i="13"/>
  <c r="K23" i="13"/>
  <c r="K24" i="13"/>
  <c r="K25" i="13"/>
  <c r="K27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Q7" i="13"/>
  <c r="K7" i="13"/>
  <c r="I7" i="11"/>
  <c r="I13" i="14" l="1"/>
  <c r="Q12" i="15"/>
  <c r="I12" i="15"/>
  <c r="Q13" i="14"/>
  <c r="AE15" i="17"/>
  <c r="AC15" i="17"/>
  <c r="W15" i="17"/>
  <c r="T15" i="17"/>
  <c r="Q15" i="17"/>
  <c r="O15" i="17"/>
  <c r="I12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" i="7"/>
  <c r="O11" i="6"/>
  <c r="O12" i="6"/>
  <c r="O13" i="6"/>
  <c r="O14" i="6"/>
  <c r="O17" i="6"/>
  <c r="E11" i="6"/>
  <c r="E12" i="6"/>
  <c r="E14" i="6"/>
  <c r="E15" i="6"/>
  <c r="E16" i="6"/>
  <c r="E10" i="6"/>
  <c r="C13" i="6"/>
  <c r="C14" i="6"/>
  <c r="C17" i="6"/>
  <c r="C12" i="6"/>
  <c r="C11" i="6"/>
  <c r="G12" i="6"/>
  <c r="G13" i="6"/>
  <c r="G14" i="6"/>
  <c r="I10" i="6" l="1"/>
  <c r="E18" i="6"/>
  <c r="C18" i="6"/>
  <c r="O18" i="6"/>
  <c r="I10" i="11"/>
  <c r="I12" i="6" l="1"/>
  <c r="M82" i="13" l="1"/>
  <c r="Q82" i="13" s="1"/>
  <c r="I14" i="7" s="1"/>
  <c r="M75" i="13"/>
  <c r="Q75" i="13" s="1"/>
  <c r="I13" i="7" s="1"/>
  <c r="M72" i="13"/>
  <c r="Q72" i="13" s="1"/>
  <c r="I30" i="7" s="1"/>
  <c r="M28" i="13"/>
  <c r="Q28" i="13" s="1"/>
  <c r="I11" i="7" s="1"/>
  <c r="M26" i="13"/>
  <c r="Q26" i="13" s="1"/>
  <c r="I9" i="7" s="1"/>
  <c r="M17" i="13"/>
  <c r="G28" i="13"/>
  <c r="K28" i="13" s="1"/>
  <c r="E11" i="7" s="1"/>
  <c r="G72" i="13"/>
  <c r="K72" i="13" s="1"/>
  <c r="E30" i="7" s="1"/>
  <c r="G26" i="13"/>
  <c r="K26" i="13" s="1"/>
  <c r="E9" i="7" s="1"/>
  <c r="G17" i="13"/>
  <c r="M89" i="13" l="1"/>
  <c r="Q17" i="13"/>
  <c r="G89" i="13"/>
  <c r="K17" i="13"/>
  <c r="K89" i="13" l="1"/>
  <c r="E10" i="7"/>
  <c r="Q89" i="13"/>
  <c r="I10" i="7"/>
  <c r="I85" i="7" s="1"/>
  <c r="K51" i="2"/>
  <c r="I11" i="19"/>
  <c r="I10" i="19"/>
  <c r="I9" i="19"/>
  <c r="K10" i="7" l="1"/>
  <c r="E9" i="11"/>
  <c r="K46" i="7"/>
  <c r="K22" i="7"/>
  <c r="K77" i="7"/>
  <c r="K28" i="7"/>
  <c r="K23" i="7"/>
  <c r="K83" i="7"/>
  <c r="K35" i="7"/>
  <c r="K17" i="7"/>
  <c r="K69" i="7"/>
  <c r="K72" i="7"/>
  <c r="K48" i="7"/>
  <c r="K24" i="7"/>
  <c r="K49" i="7"/>
  <c r="K75" i="7"/>
  <c r="K51" i="7"/>
  <c r="K27" i="7"/>
  <c r="K66" i="7"/>
  <c r="K42" i="7"/>
  <c r="K38" i="7"/>
  <c r="K26" i="7"/>
  <c r="K74" i="7"/>
  <c r="K70" i="7"/>
  <c r="K65" i="7"/>
  <c r="K16" i="7"/>
  <c r="K71" i="7"/>
  <c r="K82" i="7"/>
  <c r="K73" i="7"/>
  <c r="K61" i="7"/>
  <c r="K68" i="7"/>
  <c r="K44" i="7"/>
  <c r="K20" i="7"/>
  <c r="K45" i="7"/>
  <c r="K67" i="7"/>
  <c r="K43" i="7"/>
  <c r="K19" i="7"/>
  <c r="K62" i="7"/>
  <c r="K57" i="7"/>
  <c r="K55" i="7"/>
  <c r="K50" i="7"/>
  <c r="K34" i="7"/>
  <c r="K53" i="7"/>
  <c r="K52" i="7"/>
  <c r="K76" i="7"/>
  <c r="K59" i="7"/>
  <c r="K58" i="7"/>
  <c r="K8" i="7"/>
  <c r="K25" i="7"/>
  <c r="K84" i="7"/>
  <c r="K60" i="7"/>
  <c r="K36" i="7"/>
  <c r="K12" i="7"/>
  <c r="K37" i="7"/>
  <c r="K63" i="7"/>
  <c r="K39" i="7"/>
  <c r="K15" i="7"/>
  <c r="K78" i="7"/>
  <c r="K54" i="7"/>
  <c r="K33" i="7"/>
  <c r="K79" i="7"/>
  <c r="K31" i="7"/>
  <c r="K18" i="7"/>
  <c r="K41" i="7"/>
  <c r="K40" i="7"/>
  <c r="K64" i="7"/>
  <c r="K47" i="7"/>
  <c r="K29" i="7"/>
  <c r="K81" i="7"/>
  <c r="K21" i="7"/>
  <c r="K80" i="7"/>
  <c r="K56" i="7"/>
  <c r="K32" i="7"/>
  <c r="K9" i="7"/>
  <c r="K30" i="7"/>
  <c r="K11" i="7"/>
  <c r="K14" i="7"/>
  <c r="K13" i="7"/>
  <c r="E85" i="7"/>
  <c r="G10" i="7" s="1"/>
  <c r="C9" i="8"/>
  <c r="Q51" i="2"/>
  <c r="O51" i="2"/>
  <c r="M51" i="2"/>
  <c r="AG10" i="17"/>
  <c r="AG11" i="17"/>
  <c r="AG12" i="17"/>
  <c r="AG13" i="17"/>
  <c r="AG14" i="17"/>
  <c r="AG9" i="17"/>
  <c r="G17" i="6"/>
  <c r="G14" i="7" l="1"/>
  <c r="G20" i="7"/>
  <c r="G68" i="7"/>
  <c r="G74" i="7"/>
  <c r="G16" i="7"/>
  <c r="G49" i="7"/>
  <c r="G64" i="7"/>
  <c r="G12" i="7"/>
  <c r="G75" i="7"/>
  <c r="G51" i="7"/>
  <c r="G35" i="7"/>
  <c r="G19" i="7"/>
  <c r="G65" i="7"/>
  <c r="G60" i="7"/>
  <c r="G83" i="7"/>
  <c r="G82" i="7"/>
  <c r="G58" i="7"/>
  <c r="G34" i="7"/>
  <c r="G8" i="7"/>
  <c r="G41" i="7"/>
  <c r="G17" i="7"/>
  <c r="G13" i="7"/>
  <c r="G63" i="7"/>
  <c r="G57" i="7"/>
  <c r="G56" i="7"/>
  <c r="G26" i="7"/>
  <c r="G62" i="7"/>
  <c r="G73" i="7"/>
  <c r="G37" i="7"/>
  <c r="G52" i="7"/>
  <c r="G67" i="7"/>
  <c r="G47" i="7"/>
  <c r="G31" i="7"/>
  <c r="G15" i="7"/>
  <c r="G53" i="7"/>
  <c r="G48" i="7"/>
  <c r="G79" i="7"/>
  <c r="G78" i="7"/>
  <c r="G54" i="7"/>
  <c r="G22" i="7"/>
  <c r="G81" i="7"/>
  <c r="G29" i="7"/>
  <c r="G42" i="7"/>
  <c r="G21" i="7"/>
  <c r="G44" i="7"/>
  <c r="G50" i="7"/>
  <c r="G45" i="7"/>
  <c r="G77" i="7"/>
  <c r="G33" i="7"/>
  <c r="G28" i="7"/>
  <c r="G59" i="7"/>
  <c r="G43" i="7"/>
  <c r="G27" i="7"/>
  <c r="G84" i="7"/>
  <c r="G40" i="7"/>
  <c r="G71" i="7"/>
  <c r="G70" i="7"/>
  <c r="G46" i="7"/>
  <c r="G18" i="7"/>
  <c r="G69" i="7"/>
  <c r="G25" i="7"/>
  <c r="G80" i="7"/>
  <c r="G32" i="7"/>
  <c r="G38" i="7"/>
  <c r="G36" i="7"/>
  <c r="G61" i="7"/>
  <c r="G72" i="7"/>
  <c r="G24" i="7"/>
  <c r="G55" i="7"/>
  <c r="G39" i="7"/>
  <c r="G23" i="7"/>
  <c r="G76" i="7"/>
  <c r="G66" i="7"/>
  <c r="G30" i="7"/>
  <c r="G11" i="7"/>
  <c r="G9" i="7"/>
  <c r="K85" i="7"/>
  <c r="AG15" i="17"/>
  <c r="S51" i="2"/>
  <c r="I13" i="6"/>
  <c r="G85" i="7" l="1"/>
  <c r="G11" i="6"/>
  <c r="G18" i="6" s="1"/>
  <c r="K13" i="6" l="1"/>
  <c r="K12" i="6"/>
  <c r="K17" i="6"/>
  <c r="K11" i="6"/>
  <c r="K14" i="6" l="1"/>
  <c r="K18" i="6" s="1"/>
  <c r="Q13" i="6" l="1"/>
  <c r="Q17" i="6"/>
  <c r="I11" i="6"/>
  <c r="I17" i="6"/>
  <c r="M11" i="6"/>
  <c r="Q11" i="6" s="1"/>
  <c r="M15" i="6"/>
  <c r="Q15" i="6" s="1"/>
  <c r="M16" i="6"/>
  <c r="Q16" i="6" s="1"/>
  <c r="M14" i="6"/>
  <c r="Q14" i="6" s="1"/>
  <c r="M10" i="6"/>
  <c r="I14" i="6"/>
  <c r="I9" i="11" l="1"/>
  <c r="M12" i="6"/>
  <c r="M18" i="6" s="1"/>
  <c r="Q12" i="6" l="1"/>
  <c r="Q10" i="6"/>
  <c r="Q18" i="6" l="1"/>
  <c r="E8" i="11" s="1"/>
  <c r="A3" i="13"/>
  <c r="E11" i="11" l="1"/>
  <c r="G8" i="11" s="1"/>
  <c r="I8" i="11"/>
  <c r="I11" i="11" s="1"/>
  <c r="G10" i="11" l="1"/>
  <c r="G7" i="11"/>
  <c r="G9" i="11"/>
  <c r="F89" i="13"/>
  <c r="H89" i="13"/>
  <c r="J89" i="13"/>
  <c r="N89" i="13"/>
  <c r="P89" i="13"/>
  <c r="G11" i="11" l="1"/>
  <c r="L48" i="13"/>
  <c r="L89" i="13" s="1"/>
  <c r="C12" i="5" l="1"/>
  <c r="I11" i="5"/>
  <c r="I12" i="5" s="1"/>
  <c r="S11" i="5"/>
  <c r="S12" i="5" s="1"/>
  <c r="E12" i="5"/>
  <c r="M12" i="5"/>
  <c r="O12" i="5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18" i="6" l="1"/>
  <c r="F18" i="6"/>
  <c r="H18" i="6"/>
  <c r="J18" i="6"/>
  <c r="L18" i="6"/>
  <c r="N18" i="6"/>
  <c r="P18" i="6"/>
  <c r="A3" i="14" l="1"/>
  <c r="A3" i="8" l="1"/>
  <c r="A3" i="7"/>
  <c r="A3" i="6"/>
  <c r="A3" i="5"/>
  <c r="A3" i="15"/>
  <c r="A3" i="2" l="1"/>
  <c r="A3" i="11" s="1"/>
  <c r="I16" i="6" l="1"/>
  <c r="I15" i="6"/>
  <c r="I1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<sst xmlns="http://schemas.openxmlformats.org/spreadsheetml/2006/main" count="751" uniqueCount="334">
  <si>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</si>
  <si>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</si>
  <si>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</si>
  <si>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</si>
  <si>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</si>
  <si>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</si>
  <si>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</si>
  <si>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</si>
  <si>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</si>
  <si>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</si>
  <si>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</si>
  <si>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</si>
  <si>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</si>
  <si>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</si>
  <si>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</si>
  <si>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</si>
  <si>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</si>
  <si>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</si>
  <si>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</si>
  <si>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</si>
  <si>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</si>
  <si>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</si>
  <si>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</si>
  <si>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</si>
  <si>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</si>
  <si>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</si>
  <si>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</si>
  <si>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</si>
  <si>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</si>
  <si>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</si>
  <si>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</si>
  <si>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</si>
  <si>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</si>
  <si>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</si>
  <si>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</si>
  <si>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</si>
  <si>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</si>
  <si>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</si>
  <si>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</si>
  <si>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</si>
  <si>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</si>
  <si>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</si>
  <si>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</si>
  <si>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</si>
  <si>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</si>
  <si>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</si>
  <si>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</si>
  <si>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</si>
  <si>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</si>
  <si>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</si>
  <si>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</si>
  <si>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</si>
  <si>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</si>
  <si>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</si>
  <si>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</si>
  <si>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</si>
  <si>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</si>
  <si>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</si>
  <si>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</si>
  <si>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</si>
  <si>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</si>
  <si>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</si>
  <si>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</si>
  <si>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</si>
  <si>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</si>
  <si>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</si>
  <si>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</si>
  <si>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</si>
  <si>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</si>
  <si>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</si>
  <si>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</si>
  <si>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</si>
  <si>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</si>
  <si>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</si>
  <si>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</si>
  <si>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</si>
  <si>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</si>
  <si>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</si>
  <si>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</si>
  <si>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</si>
  <si>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</si>
  <si>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</si>
  <si>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</si>
  <si>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</si>
  <si>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</si>
  <si>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</si>
  <si>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</si>
  <si>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</si>
  <si>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</si>
  <si>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</si>
  <si>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کوتاه مدت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</si>
  <si>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</si>
  <si>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</si>
  <si>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</si>
  <si>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</si>
  <si>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</si>
  <si>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</si>
  <si>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</si>
  <si>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</si>
  <si>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</si>
  <si>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</si>
  <si>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</si>
  <si>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سپرده سرمایه‌گذاری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</si>
  <si>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</si>
  <si>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</si>
  <si>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</si>
  <si>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</si>
  <si>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124-850-6867480-1</t>
  </si>
  <si>
    <t>0217918818004</t>
  </si>
  <si>
    <t>371-4-5277300-1</t>
  </si>
  <si>
    <t>جاری</t>
  </si>
  <si>
    <t>مسکن کوتاه مدت	-310058720239</t>
  </si>
  <si>
    <t>مسکن کوتاه مدت-4110001907768</t>
  </si>
  <si>
    <t>310058720239</t>
  </si>
  <si>
    <t>4110001907768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</si>
  <si>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</si>
  <si>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</si>
  <si>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</si>
  <si>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</si>
  <si>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</si>
  <si>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</si>
  <si>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1399/10/21</t>
  </si>
  <si>
    <t>1403/10/21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</si>
  <si>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</si>
  <si>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</si>
  <si>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</si>
  <si>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</si>
  <si>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</si>
  <si>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1005/10/810/707074272</t>
  </si>
  <si>
    <t>124-283-6867480-32</t>
  </si>
  <si>
    <t>359490219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</si>
  <si>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</si>
  <si>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</si>
  <si>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</si>
  <si>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</si>
  <si>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1000000.0000</t>
  </si>
  <si>
    <t>مسکن 5600929334672</t>
  </si>
  <si>
    <t>اقتصادنوین - ۱۲۴.۲۸۳.۶۸۶۷۴۸۰.۳۶</t>
  </si>
  <si>
    <t>مسکن 5600929334698</t>
  </si>
  <si>
    <t>5600929334672</t>
  </si>
  <si>
    <t>124283686748036</t>
  </si>
  <si>
    <t>5600929334698</t>
  </si>
  <si>
    <t>مرابحه عام دولت3-ش.خ 0303 (اراد33)</t>
  </si>
  <si>
    <t>صکوک مرابحه غدیر504-3ماهه18% (صغدیر504)</t>
  </si>
  <si>
    <t>1401/04/07</t>
  </si>
  <si>
    <t>1403/03/27</t>
  </si>
  <si>
    <t>1405/04/07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</si>
  <si>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</si>
  <si>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</si>
  <si>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</si>
  <si>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</si>
  <si>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</si>
  <si>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124283686748038</t>
  </si>
  <si>
    <t>2093071522726814</t>
  </si>
  <si>
    <t>2093071522726813</t>
  </si>
  <si>
    <t>2093071522726815</t>
  </si>
  <si>
    <t>209306152272682</t>
  </si>
  <si>
    <t>مرابحه عام دولت142-ش.خ031009 (اراد142)</t>
  </si>
  <si>
    <t>1402/08/09</t>
  </si>
  <si>
    <t>1403/10/09</t>
  </si>
  <si>
    <t>15.00</t>
  </si>
  <si>
    <t>18.00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</si>
  <si>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</si>
  <si>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</si>
  <si>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</si>
  <si>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</si>
  <si>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</si>
  <si>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</si>
  <si>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</si>
  <si>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</si>
  <si>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</si>
  <si>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7001003214649</t>
  </si>
  <si>
    <t>2098100152272681</t>
  </si>
  <si>
    <t>104458815</t>
  </si>
  <si>
    <t>124283686748039</t>
  </si>
  <si>
    <t>2093071522726816</t>
  </si>
  <si>
    <t>7001003214661</t>
  </si>
  <si>
    <t>209306152272683</t>
  </si>
  <si>
    <t>0406996080002</t>
  </si>
  <si>
    <t>6174547090</t>
  </si>
  <si>
    <t>2093071522726817</t>
  </si>
  <si>
    <t>7001003214649</t>
  </si>
  <si>
    <t>اسنادخزانه-م4بودجه01-040917 (اخزا104)</t>
  </si>
  <si>
    <t>مرابحه مادیران-کیان060626 (لوازم مادیران063)</t>
  </si>
  <si>
    <t>1401/12/08</t>
  </si>
  <si>
    <t>1404/09/17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</si>
  <si>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</si>
  <si>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</si>
  <si>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</si>
  <si>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</si>
  <si>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</si>
  <si>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</si>
  <si>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</si>
  <si>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</si>
  <si>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</si>
  <si>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</si>
  <si>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</si>
  <si>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</si>
  <si>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</si>
  <si>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</si>
  <si>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</si>
  <si>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</si>
  <si>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</si>
  <si>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</si>
  <si>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</si>
  <si>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</si>
  <si>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</si>
  <si>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</si>
  <si>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7001003258763</t>
  </si>
  <si>
    <t>7001003260318</t>
  </si>
  <si>
    <t>7001003242019</t>
  </si>
  <si>
    <t>7001003258678</t>
  </si>
  <si>
    <t>124283686748041</t>
  </si>
  <si>
    <t>7001003316349</t>
  </si>
  <si>
    <t>7001003356883</t>
  </si>
  <si>
    <t>5600931334165</t>
  </si>
  <si>
    <t>124283686748042</t>
  </si>
  <si>
    <t>7001003356893</t>
  </si>
  <si>
    <t>5600929335463</t>
  </si>
  <si>
    <t>7001003316357</t>
  </si>
  <si>
    <t>7001003258822</t>
  </si>
  <si>
    <t>7001003316350</t>
  </si>
  <si>
    <t>7001003259908</t>
  </si>
  <si>
    <t>7001003260834</t>
  </si>
  <si>
    <t>124283686748040</t>
  </si>
  <si>
    <t>7001003317861</t>
  </si>
  <si>
    <t>7001003258695</t>
  </si>
  <si>
    <t>7001003260934</t>
  </si>
  <si>
    <t>7001003316468</t>
  </si>
  <si>
    <t>7001003345278</t>
  </si>
  <si>
    <t>1402/11/30</t>
  </si>
  <si>
    <t>اسنادخزانه-م7بودجه00-030912 (اخزا007)</t>
  </si>
  <si>
    <t>اسنادخزانه-م7بودجه01-040714 (اخزا107)</t>
  </si>
  <si>
    <t>1400/04/14</t>
  </si>
  <si>
    <t>1401/12/10</t>
  </si>
  <si>
    <t>1403/09/12</t>
  </si>
  <si>
    <t>1404/07/14</t>
  </si>
  <si>
    <t>بانک شهر 7001003400845</t>
  </si>
  <si>
    <t>بانک شهر 7001003374932</t>
  </si>
  <si>
    <t>بانک شهر 7001003374469</t>
  </si>
  <si>
    <t>بانک تجارت کوتاه مدت 24845478</t>
  </si>
  <si>
    <t>بانک شهر 7001003374403</t>
  </si>
  <si>
    <t>بانک شهر 7001003374230</t>
  </si>
  <si>
    <t>بانک شهر 7001003374148</t>
  </si>
  <si>
    <t>بانک شهر 7001003401283</t>
  </si>
  <si>
    <t>بانک شهر 7001003373974</t>
  </si>
  <si>
    <t>بانک شهر 7001003375223</t>
  </si>
  <si>
    <t>بانک تجارت 0479601842490</t>
  </si>
  <si>
    <t>بانک شهر 7001003400925</t>
  </si>
  <si>
    <t>بانک شهر 7001003359645</t>
  </si>
  <si>
    <t>بانک شهر 7001003373626</t>
  </si>
  <si>
    <t>بانک شهر 7001003374935</t>
  </si>
  <si>
    <t>بانک شهر 7001003400910</t>
  </si>
  <si>
    <t>7001003400845</t>
  </si>
  <si>
    <t>7001003374932</t>
  </si>
  <si>
    <t>7001003374469</t>
  </si>
  <si>
    <t>24845478</t>
  </si>
  <si>
    <t>7001003374403</t>
  </si>
  <si>
    <t>7001003374230</t>
  </si>
  <si>
    <t>7001003374148</t>
  </si>
  <si>
    <t>7001003401283</t>
  </si>
  <si>
    <t>7001003373974</t>
  </si>
  <si>
    <t>7001003375223</t>
  </si>
  <si>
    <t>0479601842490</t>
  </si>
  <si>
    <t>7001003400925</t>
  </si>
  <si>
    <t>7001003359645</t>
  </si>
  <si>
    <t>7001003373626</t>
  </si>
  <si>
    <t>7001003374935</t>
  </si>
  <si>
    <t>7001003400910</t>
  </si>
  <si>
    <t>1402/12/29</t>
  </si>
  <si>
    <t>بانک تجارت 0479601842568</t>
  </si>
  <si>
    <t>بانک شهر  7001003572607</t>
  </si>
  <si>
    <t>بانک شهر 7001003527830</t>
  </si>
  <si>
    <t>بانک شهر 7001003556987</t>
  </si>
  <si>
    <t>بانک شهر 7001003572558</t>
  </si>
  <si>
    <t>بانک شهر ۷۰۰۱۰۰۳۵۲۷۹۱۸</t>
  </si>
  <si>
    <t>بانک پاسارگاد 2093071522726818</t>
  </si>
  <si>
    <t>0479601842568</t>
  </si>
  <si>
    <t>7001003572607</t>
  </si>
  <si>
    <t>7001003527830</t>
  </si>
  <si>
    <t>7001003556987</t>
  </si>
  <si>
    <t>7001003572558</t>
  </si>
  <si>
    <t>7001003527918</t>
  </si>
  <si>
    <t>2093071522726818</t>
  </si>
  <si>
    <t>20.50</t>
  </si>
  <si>
    <t>23.00</t>
  </si>
  <si>
    <t>منتهی به 1403/01/31</t>
  </si>
  <si>
    <t>برای ماه منتهی به 1403/01/31</t>
  </si>
  <si>
    <t>1403/01/31</t>
  </si>
  <si>
    <t>طی فروردین ماه</t>
  </si>
  <si>
    <t>از ابتدای سال مالی تا پایان فروردین ماه</t>
  </si>
  <si>
    <t>از ابتدای سال مالی تا فروردین ماه</t>
  </si>
  <si>
    <t>اقتصاد نوین 124283686748043</t>
  </si>
  <si>
    <t>بانک اقتصاد نوین 44-6867480-283-124</t>
  </si>
  <si>
    <t>بانک سامان 830.111.3998429.1</t>
  </si>
  <si>
    <t>بانک شهر 7001003631847</t>
  </si>
  <si>
    <t>بانک شهر ۷۰۰۱۰۰۳۶۳۱۸۷۲</t>
  </si>
  <si>
    <t>124283686748043</t>
  </si>
  <si>
    <t>124-283-6867480-44</t>
  </si>
  <si>
    <t>830.111.3998429.1</t>
  </si>
  <si>
    <t>7001003631847</t>
  </si>
  <si>
    <t>7001003631872</t>
  </si>
  <si>
    <t>1402/10/10</t>
  </si>
  <si>
    <t>1402/12/26</t>
  </si>
  <si>
    <t>1403/01/14</t>
  </si>
  <si>
    <t>1402/11/18</t>
  </si>
  <si>
    <t>1402/11/28</t>
  </si>
  <si>
    <t>1403/01/29</t>
  </si>
  <si>
    <t>1403/01/27</t>
  </si>
  <si>
    <t>1402/11/15</t>
  </si>
  <si>
    <t>1402/11/25</t>
  </si>
  <si>
    <t>1402/12/23</t>
  </si>
  <si>
    <t>1402/11/29</t>
  </si>
  <si>
    <t>1403/01/01</t>
  </si>
  <si>
    <t>1403/01/05</t>
  </si>
  <si>
    <t>1403/01/17</t>
  </si>
  <si>
    <t>1403/01/24</t>
  </si>
  <si>
    <t>1402/11/08</t>
  </si>
  <si>
    <t>1402/10/11</t>
  </si>
  <si>
    <t>1402/12/02</t>
  </si>
  <si>
    <t>1403/01/10</t>
  </si>
  <si>
    <t>1402/11/07</t>
  </si>
  <si>
    <t>1403/01/06</t>
  </si>
  <si>
    <t>1403/01/26</t>
  </si>
  <si>
    <t>1403/01/07</t>
  </si>
  <si>
    <t>1402/10/03</t>
  </si>
  <si>
    <t>1402/12/01</t>
  </si>
  <si>
    <t>1403/04/07</t>
  </si>
  <si>
    <t>1403/02/09</t>
  </si>
  <si>
    <t>1403/04/21</t>
  </si>
  <si>
    <t>اسنادخزانه-م007بودجه-030912</t>
  </si>
  <si>
    <t>اسنادخزانه-م107بودجه-040714</t>
  </si>
  <si>
    <t>اسنادخزانه-م104بودجه-040917</t>
  </si>
  <si>
    <t>مطابق بند 3-2 دستورالعمل نحوه تعیین قیمت خرید و فروش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</si>
</sst>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</numFmts>
  <fonts count="6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11"/>
      <color theme="1"/>
      <name val="B Mitra"/>
      <charset val="178"/>
    </font>
    <font>
      <b/>
      <sz val="11"/>
      <color rgb="FF000000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67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6" fillId="0" borderId="0" xfId="1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4" fontId="20" fillId="0" borderId="0" xfId="1" applyNumberFormat="1" applyFont="1" applyFill="1"/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31" fillId="0" borderId="0" xfId="1" applyNumberFormat="1" applyFont="1" applyFill="1" applyBorder="1" applyAlignment="1">
      <alignment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9" fontId="10" fillId="0" borderId="0" xfId="2" applyFont="1" applyFill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/>
    </xf>
    <xf numFmtId="164" fontId="20" fillId="0" borderId="0" xfId="1" applyNumberFormat="1" applyFont="1" applyFill="1" applyBorder="1" applyAlignment="1">
      <alignment vertical="center" wrapText="1"/>
    </xf>
    <xf numFmtId="169" fontId="10" fillId="0" borderId="0" xfId="2" applyNumberFormat="1" applyFont="1" applyFill="1" applyAlignment="1">
      <alignment horizontal="center" vertical="center"/>
    </xf>
    <xf numFmtId="164" fontId="12" fillId="0" borderId="0" xfId="1" applyNumberFormat="1" applyFont="1" applyFill="1" applyAlignment="1">
      <alignment horizontal="center"/>
    </xf>
    <xf numFmtId="164" fontId="9" fillId="0" borderId="0" xfId="1" applyNumberFormat="1" applyFont="1" applyFill="1" applyAlignment="1"/>
    <xf numFmtId="166" fontId="47" fillId="0" borderId="0" xfId="1" applyNumberFormat="1" applyFont="1" applyFill="1" applyAlignment="1">
      <alignment horizontal="left" vertical="center" wrapText="1" shrinkToFit="1"/>
    </xf>
    <xf numFmtId="164" fontId="47" fillId="0" borderId="0" xfId="1" applyNumberFormat="1" applyFont="1" applyFill="1" applyAlignment="1">
      <alignment horizontal="left" vertical="center" wrapText="1" shrinkToFit="1"/>
    </xf>
    <xf numFmtId="167" fontId="47" fillId="0" borderId="0" xfId="1" applyNumberFormat="1" applyFont="1" applyFill="1" applyAlignment="1">
      <alignment horizontal="left" vertical="center" wrapText="1" shrinkToFit="1"/>
    </xf>
    <xf numFmtId="164" fontId="44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0" fillId="0" borderId="8" xfId="1" applyNumberFormat="1" applyFont="1" applyFill="1" applyBorder="1" applyAlignment="1">
      <alignment vertical="center"/>
    </xf>
    <xf numFmtId="9" fontId="39" fillId="0" borderId="2" xfId="2" applyFont="1" applyFill="1" applyBorder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 wrapText="1" readingOrder="2"/>
    </xf>
    <xf numFmtId="164" fontId="8" fillId="0" borderId="0" xfId="1" applyNumberFormat="1" applyFont="1" applyFill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170" fontId="57" fillId="0" borderId="0" xfId="1" applyNumberFormat="1" applyFont="1" applyFill="1" applyAlignment="1">
      <alignment vertical="center"/>
    </xf>
    <xf numFmtId="165" fontId="22" fillId="0" borderId="0" xfId="1" applyNumberFormat="1" applyFont="1" applyFill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44" fillId="0" borderId="0" xfId="0" applyFont="1"/>
    <xf numFmtId="37" fontId="43" fillId="0" borderId="0" xfId="0" applyNumberFormat="1" applyFont="1" applyAlignment="1">
      <alignment horizontal="right" vertical="center"/>
    </xf>
    <xf numFmtId="37" fontId="43" fillId="0" borderId="16" xfId="0" applyNumberFormat="1" applyFont="1" applyBorder="1" applyAlignment="1">
      <alignment horizontal="center" vertical="center"/>
    </xf>
    <xf numFmtId="0" fontId="44" fillId="0" borderId="3" xfId="0" applyFont="1" applyBorder="1"/>
    <xf numFmtId="37" fontId="43" fillId="0" borderId="3" xfId="0" applyNumberFormat="1" applyFont="1" applyBorder="1" applyAlignment="1">
      <alignment horizontal="center" vertical="center" wrapText="1"/>
    </xf>
    <xf numFmtId="37" fontId="45" fillId="0" borderId="18" xfId="0" applyNumberFormat="1" applyFont="1" applyBorder="1" applyAlignment="1">
      <alignment horizontal="right" vertical="center" wrapText="1"/>
    </xf>
    <xf numFmtId="0" fontId="46" fillId="0" borderId="0" xfId="0" applyFont="1" applyAlignment="1">
      <alignment horizontal="center"/>
    </xf>
    <xf numFmtId="164" fontId="45" fillId="0" borderId="9" xfId="0" applyNumberFormat="1" applyFont="1" applyBorder="1" applyAlignment="1">
      <alignment horizontal="left" vertical="center" wrapText="1" shrinkToFit="1"/>
    </xf>
    <xf numFmtId="168" fontId="45" fillId="0" borderId="0" xfId="0" applyNumberFormat="1" applyFont="1" applyAlignment="1">
      <alignment horizontal="center" vertical="center" wrapText="1" shrinkToFit="1"/>
    </xf>
    <xf numFmtId="0" fontId="47" fillId="0" borderId="0" xfId="0" applyFont="1"/>
    <xf numFmtId="164" fontId="44" fillId="0" borderId="0" xfId="0" applyNumberFormat="1" applyFont="1" applyAlignment="1">
      <alignment vertical="center"/>
    </xf>
    <xf numFmtId="37" fontId="45" fillId="0" borderId="19" xfId="0" applyNumberFormat="1" applyFont="1" applyBorder="1" applyAlignment="1">
      <alignment horizontal="right" vertical="center" wrapText="1"/>
    </xf>
    <xf numFmtId="164" fontId="45" fillId="0" borderId="0" xfId="0" applyNumberFormat="1" applyFont="1" applyAlignment="1">
      <alignment horizontal="left" vertical="center" wrapText="1" shrinkToFit="1"/>
    </xf>
    <xf numFmtId="164" fontId="45" fillId="0" borderId="0" xfId="0" applyNumberFormat="1" applyFont="1" applyAlignment="1">
      <alignment horizontal="righ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2" fillId="0" borderId="0" xfId="0" applyNumberFormat="1" applyFont="1"/>
    <xf numFmtId="0" fontId="16" fillId="0" borderId="0" xfId="0" applyFont="1"/>
    <xf numFmtId="0" fontId="20" fillId="0" borderId="0" xfId="0" applyFont="1"/>
    <xf numFmtId="0" fontId="20" fillId="0" borderId="1" xfId="0" applyFont="1" applyBorder="1"/>
    <xf numFmtId="10" fontId="20" fillId="0" borderId="1" xfId="0" applyNumberFormat="1" applyFont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0" fontId="20" fillId="0" borderId="0" xfId="0" applyFont="1" applyAlignment="1">
      <alignment vertical="center" wrapText="1"/>
    </xf>
    <xf numFmtId="0" fontId="56" fillId="0" borderId="0" xfId="0" applyFont="1"/>
    <xf numFmtId="0" fontId="20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164" fontId="20" fillId="0" borderId="0" xfId="0" applyNumberFormat="1" applyFont="1"/>
    <xf numFmtId="10" fontId="16" fillId="0" borderId="0" xfId="0" applyNumberFormat="1" applyFont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19" fillId="0" borderId="0" xfId="0" applyFont="1" applyAlignment="1">
      <alignment vertical="center" readingOrder="2"/>
    </xf>
    <xf numFmtId="38" fontId="14" fillId="0" borderId="0" xfId="0" applyNumberFormat="1" applyFont="1"/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43" fontId="18" fillId="0" borderId="0" xfId="1" applyFont="1" applyFill="1" applyAlignment="1">
      <alignment horizontal="center" vertical="center" wrapText="1" shrinkToFit="1" readingOrder="2"/>
    </xf>
    <xf numFmtId="0" fontId="18" fillId="0" borderId="0" xfId="0" applyFont="1" applyAlignment="1">
      <alignment horizontal="center"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164" fontId="50" fillId="0" borderId="0" xfId="0" applyNumberFormat="1" applyFont="1" applyAlignment="1">
      <alignment vertical="center" wrapText="1" shrinkToFit="1"/>
    </xf>
    <xf numFmtId="0" fontId="20" fillId="0" borderId="0" xfId="0" applyFont="1" applyAlignment="1">
      <alignment horizontal="right" vertical="center"/>
    </xf>
    <xf numFmtId="38" fontId="18" fillId="0" borderId="10" xfId="0" applyNumberFormat="1" applyFont="1" applyBorder="1" applyAlignment="1">
      <alignment horizontal="right" vertical="center" readingOrder="2"/>
    </xf>
    <xf numFmtId="1" fontId="18" fillId="0" borderId="2" xfId="0" applyNumberFormat="1" applyFont="1" applyBorder="1" applyAlignment="1">
      <alignment horizontal="center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3" fontId="52" fillId="0" borderId="0" xfId="0" applyNumberFormat="1" applyFont="1"/>
    <xf numFmtId="164" fontId="14" fillId="0" borderId="0" xfId="1" applyNumberFormat="1" applyFont="1" applyFill="1" applyAlignment="1"/>
    <xf numFmtId="164" fontId="14" fillId="0" borderId="0" xfId="0" applyNumberFormat="1" applyFont="1"/>
    <xf numFmtId="3" fontId="14" fillId="0" borderId="0" xfId="0" applyNumberFormat="1" applyFont="1"/>
    <xf numFmtId="164" fontId="51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36" fillId="0" borderId="0" xfId="0" applyFont="1"/>
    <xf numFmtId="3" fontId="36" fillId="0" borderId="0" xfId="0" applyNumberFormat="1" applyFont="1"/>
    <xf numFmtId="2" fontId="10" fillId="0" borderId="9" xfId="0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0" fillId="0" borderId="0" xfId="0" applyNumberFormat="1" applyFont="1"/>
    <xf numFmtId="37" fontId="2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0" fontId="29" fillId="0" borderId="15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 readingOrder="2"/>
    </xf>
    <xf numFmtId="0" fontId="18" fillId="0" borderId="0" xfId="0" applyFont="1"/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1" fontId="13" fillId="0" borderId="0" xfId="0" applyNumberFormat="1" applyFont="1" applyAlignment="1">
      <alignment horizontal="right" vertical="center"/>
    </xf>
    <xf numFmtId="0" fontId="35" fillId="2" borderId="0" xfId="0" applyFont="1" applyFill="1" applyAlignment="1">
      <alignment horizontal="center"/>
    </xf>
    <xf numFmtId="38" fontId="21" fillId="2" borderId="14" xfId="1" applyNumberFormat="1" applyFont="1" applyFill="1" applyBorder="1" applyAlignment="1">
      <alignment horizontal="right" vertical="center" readingOrder="2"/>
    </xf>
    <xf numFmtId="0" fontId="37" fillId="2" borderId="0" xfId="0" applyFont="1" applyFill="1" applyAlignment="1">
      <alignment horizontal="right" vertical="center" readingOrder="2"/>
    </xf>
    <xf numFmtId="164" fontId="48" fillId="2" borderId="0" xfId="0" applyNumberFormat="1" applyFont="1" applyFill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164" fontId="50" fillId="2" borderId="0" xfId="0" applyNumberFormat="1" applyFont="1" applyFill="1" applyAlignment="1">
      <alignment vertical="center" wrapText="1" shrinkToFit="1"/>
    </xf>
    <xf numFmtId="164" fontId="10" fillId="0" borderId="0" xfId="1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center" wrapText="1"/>
    </xf>
    <xf numFmtId="37" fontId="43" fillId="0" borderId="17" xfId="0" applyNumberFormat="1" applyFont="1" applyBorder="1" applyAlignment="1">
      <alignment horizontal="center" vertical="center"/>
    </xf>
    <xf numFmtId="164" fontId="10" fillId="0" borderId="20" xfId="1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right" vertical="center" indent="1"/>
    </xf>
    <xf numFmtId="0" fontId="55" fillId="0" borderId="1" xfId="0" applyFont="1" applyBorder="1" applyAlignment="1">
      <alignment horizontal="center" vertical="center" wrapText="1" readingOrder="2"/>
    </xf>
    <xf numFmtId="0" fontId="55" fillId="0" borderId="1" xfId="0" applyFont="1" applyBorder="1" applyAlignment="1">
      <alignment vertical="center" wrapText="1" readingOrder="2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8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15" fillId="0" borderId="0" xfId="0" applyFont="1" applyAlignment="1">
      <alignment horizontal="center"/>
    </xf>
    <xf numFmtId="164" fontId="14" fillId="2" borderId="0" xfId="1" applyNumberFormat="1" applyFont="1" applyFill="1" applyAlignment="1"/>
    <xf numFmtId="3" fontId="10" fillId="0" borderId="20" xfId="0" applyNumberFormat="1" applyFont="1" applyBorder="1" applyAlignment="1">
      <alignment horizontal="right" vertical="center" indent="1"/>
    </xf>
    <xf numFmtId="38" fontId="10" fillId="0" borderId="0" xfId="1" applyNumberFormat="1" applyFont="1" applyFill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vertical="center"/>
    </xf>
    <xf numFmtId="164" fontId="18" fillId="0" borderId="8" xfId="1" applyNumberFormat="1" applyFont="1" applyFill="1" applyBorder="1" applyAlignment="1">
      <alignment horizontal="left" vertical="center"/>
    </xf>
    <xf numFmtId="164" fontId="18" fillId="0" borderId="1" xfId="1" applyNumberFormat="1" applyFont="1" applyFill="1" applyBorder="1" applyAlignment="1">
      <alignment horizontal="right" vertical="center" readingOrder="2"/>
    </xf>
    <xf numFmtId="165" fontId="20" fillId="0" borderId="1" xfId="1" applyNumberFormat="1" applyFont="1" applyFill="1" applyBorder="1" applyAlignment="1">
      <alignment horizontal="center" vertical="center" wrapText="1"/>
    </xf>
    <xf numFmtId="37" fontId="43" fillId="0" borderId="3" xfId="0" applyNumberFormat="1" applyFont="1" applyBorder="1" applyAlignment="1">
      <alignment horizontal="center" vertical="center"/>
    </xf>
    <xf numFmtId="3" fontId="16" fillId="0" borderId="0" xfId="0" applyNumberFormat="1" applyFont="1"/>
    <xf numFmtId="43" fontId="20" fillId="0" borderId="2" xfId="1" applyFont="1" applyFill="1" applyBorder="1" applyAlignment="1">
      <alignment horizontal="center" vertical="center" readingOrder="2"/>
    </xf>
    <xf numFmtId="37" fontId="34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18" fillId="0" borderId="8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9" fillId="0" borderId="15" xfId="0" applyFont="1" applyBorder="1" applyAlignment="1">
      <alignment horizontal="right" vertical="center" wrapText="1" readingOrder="2"/>
    </xf>
    <xf numFmtId="0" fontId="10" fillId="0" borderId="0" xfId="0" applyFont="1" applyAlignment="1">
      <alignment horizontal="right"/>
    </xf>
    <xf numFmtId="37" fontId="32" fillId="0" borderId="0" xfId="0" applyNumberFormat="1" applyFont="1" applyAlignment="1">
      <alignment horizontal="right" vertical="center" wrapText="1"/>
    </xf>
    <xf numFmtId="169" fontId="13" fillId="0" borderId="0" xfId="0" applyNumberFormat="1" applyFont="1" applyAlignment="1">
      <alignment horizontal="center" vertical="center"/>
    </xf>
    <xf numFmtId="164" fontId="20" fillId="0" borderId="0" xfId="1" applyNumberFormat="1" applyFont="1" applyFill="1" applyAlignment="1">
      <alignment horizontal="right" vertical="center"/>
    </xf>
    <xf numFmtId="164" fontId="14" fillId="3" borderId="0" xfId="0" applyNumberFormat="1" applyFont="1" applyFill="1"/>
    <xf numFmtId="0" fontId="14" fillId="3" borderId="0" xfId="0" applyFont="1" applyFill="1"/>
    <xf numFmtId="164" fontId="22" fillId="3" borderId="8" xfId="1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 readingOrder="2"/>
    </xf>
    <xf numFmtId="164" fontId="6" fillId="0" borderId="0" xfId="0" applyNumberFormat="1" applyFont="1" applyAlignment="1">
      <alignment horizontal="center" vertical="center" readingOrder="2"/>
    </xf>
    <xf numFmtId="164" fontId="6" fillId="0" borderId="2" xfId="0" applyNumberFormat="1" applyFont="1" applyBorder="1" applyAlignment="1">
      <alignment horizontal="center" vertical="center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9" fontId="20" fillId="0" borderId="0" xfId="1" applyNumberFormat="1" applyFont="1" applyFill="1" applyAlignment="1">
      <alignment horizontal="center" vertical="center"/>
    </xf>
    <xf numFmtId="169" fontId="20" fillId="0" borderId="0" xfId="1" applyNumberFormat="1" applyFont="1" applyFill="1" applyAlignment="1">
      <alignment horizontal="center" vertical="center"/>
    </xf>
    <xf numFmtId="10" fontId="20" fillId="0" borderId="0" xfId="0" applyNumberFormat="1" applyFont="1" applyAlignment="1">
      <alignment vertical="center" wrapText="1" readingOrder="2"/>
    </xf>
    <xf numFmtId="164" fontId="22" fillId="0" borderId="0" xfId="1" applyNumberFormat="1" applyFont="1" applyFill="1" applyBorder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164" fontId="58" fillId="0" borderId="8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8" xfId="1" applyNumberFormat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  <xf numFmtId="0" fontId="59" fillId="0" borderId="1" xfId="0" applyFont="1" applyBorder="1" applyAlignment="1">
      <alignment horizontal="center" vertical="center" wrapText="1" readingOrder="2"/>
    </xf>
    <xf numFmtId="0" fontId="14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37" fontId="43" fillId="0" borderId="0" xfId="0" applyNumberFormat="1" applyFont="1" applyAlignment="1">
      <alignment horizontal="right" vertical="center"/>
    </xf>
    <xf numFmtId="0" fontId="44" fillId="0" borderId="0" xfId="0" applyFont="1"/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10" fontId="20" fillId="0" borderId="0" xfId="0" applyNumberFormat="1" applyFont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5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9" fontId="10" fillId="0" borderId="0" xfId="2" applyNumberFormat="1" applyFont="1" applyFill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86589</xdr:rowOff>
    </xdr:from>
    <xdr:to>
      <xdr:col>8</xdr:col>
      <xdr:colOff>502227</xdr:colOff>
      <xdr:row>36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1729E7-5962-1992-2BB2-0CAD179C5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586864" y="86589"/>
          <a:ext cx="5351317" cy="7775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view="pageBreakPreview" zoomScale="55" zoomScaleNormal="100" zoomScaleSheetLayoutView="55" workbookViewId="0">
      <selection activeCell="AE16" sqref="AE16"/>
    </sheetView>
  </sheetViews>
  <sheetFormatPr defaultColWidth="9.140625" defaultRowHeight="17.25"/>
  <cols>
    <col min="1" max="16384" width="9.140625" style="7"/>
  </cols>
  <sheetData>
    <row r="18" spans="1:13">
      <c r="M18" s="7" t="s">
        <v>58</v>
      </c>
    </row>
    <row r="24" spans="1:13" ht="15" customHeight="1">
      <c r="A24" s="275" t="s">
        <v>73</v>
      </c>
      <c r="B24" s="275"/>
      <c r="C24" s="275"/>
      <c r="D24" s="275"/>
      <c r="E24" s="275"/>
      <c r="F24" s="275"/>
      <c r="G24" s="275"/>
      <c r="H24" s="275"/>
      <c r="I24" s="275"/>
      <c r="J24" s="275"/>
      <c r="K24" s="18"/>
      <c r="L24" s="18"/>
    </row>
    <row r="25" spans="1:13" ht="15" customHeight="1">
      <c r="A25" s="275"/>
      <c r="B25" s="275"/>
      <c r="C25" s="275"/>
      <c r="D25" s="275"/>
      <c r="E25" s="275"/>
      <c r="F25" s="275"/>
      <c r="G25" s="275"/>
      <c r="H25" s="275"/>
      <c r="I25" s="275"/>
      <c r="J25" s="275"/>
      <c r="K25" s="18"/>
      <c r="L25" s="18"/>
    </row>
    <row r="26" spans="1:13" ht="15" customHeight="1">
      <c r="A26" s="275"/>
      <c r="B26" s="275"/>
      <c r="C26" s="275"/>
      <c r="D26" s="275"/>
      <c r="E26" s="275"/>
      <c r="F26" s="275"/>
      <c r="G26" s="275"/>
      <c r="H26" s="275"/>
      <c r="I26" s="275"/>
      <c r="J26" s="275"/>
      <c r="K26" s="18"/>
      <c r="L26" s="18"/>
    </row>
    <row r="28" spans="1:13" ht="15" customHeight="1">
      <c r="A28" s="275" t="s">
        <v>286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</row>
    <row r="29" spans="1:13" ht="15" customHeight="1">
      <c r="A29" s="275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</row>
    <row r="30" spans="1:13" ht="15" customHeight="1">
      <c r="A30" s="275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</row>
    <row r="31" spans="1:13" ht="15" customHeight="1">
      <c r="A31" s="275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16"/>
  <sheetViews>
    <sheetView rightToLeft="1" view="pageBreakPreview" zoomScale="25" zoomScaleNormal="100" zoomScaleSheetLayoutView="25" workbookViewId="0">
      <selection activeCell="A10" sqref="A10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84" t="s">
        <v>89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</row>
    <row r="2" spans="1:23" ht="31.5">
      <c r="A2" s="284" t="s">
        <v>50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</row>
    <row r="3" spans="1:23" ht="31.5">
      <c r="A3" s="284" t="s">
        <v>287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</row>
    <row r="4" spans="1:23" ht="31.5">
      <c r="A4" s="291" t="s">
        <v>25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</row>
    <row r="5" spans="1:23" ht="31.5">
      <c r="A5" s="291" t="s">
        <v>26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</row>
    <row r="7" spans="1:23" ht="36.75" customHeight="1" thickBot="1">
      <c r="A7" s="1"/>
      <c r="B7" s="2"/>
      <c r="C7" s="276" t="s">
        <v>269</v>
      </c>
      <c r="D7" s="276"/>
      <c r="E7" s="276"/>
      <c r="F7" s="276"/>
      <c r="G7" s="276"/>
      <c r="H7" s="3"/>
      <c r="I7" s="292" t="s">
        <v>7</v>
      </c>
      <c r="J7" s="292"/>
      <c r="K7" s="292"/>
      <c r="L7" s="292"/>
      <c r="M7" s="292"/>
      <c r="O7" s="277" t="s">
        <v>288</v>
      </c>
      <c r="P7" s="277"/>
      <c r="Q7" s="277"/>
      <c r="R7" s="277"/>
      <c r="S7" s="277"/>
      <c r="T7" s="277"/>
      <c r="U7" s="277"/>
      <c r="V7" s="277"/>
      <c r="W7" s="277"/>
    </row>
    <row r="8" spans="1:23" ht="29.25" customHeight="1">
      <c r="A8" s="285" t="s">
        <v>1</v>
      </c>
      <c r="B8" s="4"/>
      <c r="C8" s="290" t="s">
        <v>3</v>
      </c>
      <c r="D8" s="278"/>
      <c r="E8" s="290" t="s">
        <v>0</v>
      </c>
      <c r="F8" s="278"/>
      <c r="G8" s="280" t="s">
        <v>21</v>
      </c>
      <c r="H8" s="23"/>
      <c r="I8" s="287" t="s">
        <v>4</v>
      </c>
      <c r="J8" s="287"/>
      <c r="K8" s="25"/>
      <c r="L8" s="287" t="s">
        <v>5</v>
      </c>
      <c r="M8" s="287"/>
      <c r="O8" s="288" t="s">
        <v>3</v>
      </c>
      <c r="P8" s="278"/>
      <c r="Q8" s="280" t="s">
        <v>33</v>
      </c>
      <c r="R8" s="22"/>
      <c r="S8" s="288" t="s">
        <v>0</v>
      </c>
      <c r="T8" s="278"/>
      <c r="U8" s="280" t="s">
        <v>21</v>
      </c>
      <c r="V8" s="5"/>
      <c r="W8" s="282" t="s">
        <v>22</v>
      </c>
    </row>
    <row r="9" spans="1:23" ht="49.5" customHeight="1" thickBot="1">
      <c r="A9" s="286"/>
      <c r="B9" s="4"/>
      <c r="C9" s="289"/>
      <c r="D9" s="279"/>
      <c r="E9" s="289"/>
      <c r="F9" s="279"/>
      <c r="G9" s="281"/>
      <c r="H9" s="23"/>
      <c r="I9" s="26" t="s">
        <v>3</v>
      </c>
      <c r="J9" s="26" t="s">
        <v>0</v>
      </c>
      <c r="K9" s="25"/>
      <c r="L9" s="26" t="s">
        <v>3</v>
      </c>
      <c r="M9" s="26" t="s">
        <v>49</v>
      </c>
      <c r="O9" s="289"/>
      <c r="P9" s="278"/>
      <c r="Q9" s="281"/>
      <c r="R9" s="22"/>
      <c r="S9" s="289"/>
      <c r="T9" s="278"/>
      <c r="U9" s="281"/>
      <c r="V9" s="5"/>
      <c r="W9" s="283"/>
    </row>
    <row r="10" spans="1:23" ht="28.5" customHeight="1" thickBot="1">
      <c r="A10" s="63" t="s">
        <v>92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58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16"/>
  <sheetViews>
    <sheetView rightToLeft="1" view="pageBreakPreview" zoomScale="40" zoomScaleNormal="50" zoomScaleSheetLayoutView="40" workbookViewId="0">
      <selection activeCell="E15" sqref="E15"/>
    </sheetView>
  </sheetViews>
  <sheetFormatPr defaultColWidth="9.140625" defaultRowHeight="15.75"/>
  <cols>
    <col min="1" max="1" width="50" style="111" customWidth="1"/>
    <col min="2" max="2" width="0.5703125" style="111" customWidth="1"/>
    <col min="3" max="3" width="12.5703125" style="111" customWidth="1"/>
    <col min="4" max="4" width="0.5703125" style="111" customWidth="1"/>
    <col min="5" max="5" width="20.5703125" style="111" customWidth="1"/>
    <col min="6" max="6" width="0.5703125" style="111" customWidth="1"/>
    <col min="7" max="7" width="19.7109375" style="111" customWidth="1"/>
    <col min="8" max="8" width="0.5703125" style="111" customWidth="1"/>
    <col min="9" max="9" width="19.7109375" style="111" customWidth="1"/>
    <col min="10" max="10" width="0.42578125" style="111" customWidth="1"/>
    <col min="11" max="11" width="18.7109375" style="111" customWidth="1"/>
    <col min="12" max="12" width="0.7109375" style="111" customWidth="1"/>
    <col min="13" max="13" width="18.5703125" style="111" customWidth="1"/>
    <col min="14" max="14" width="1.140625" style="111" customWidth="1"/>
    <col min="15" max="15" width="27.5703125" style="111" customWidth="1"/>
    <col min="16" max="16" width="0.5703125" style="111" customWidth="1"/>
    <col min="17" max="17" width="28.5703125" style="111" customWidth="1"/>
    <col min="18" max="18" width="0.5703125" style="111" customWidth="1"/>
    <col min="19" max="19" width="21.28515625" style="111" customWidth="1"/>
    <col min="20" max="20" width="23.5703125" style="111" customWidth="1"/>
    <col min="21" max="21" width="0.5703125" style="111" customWidth="1"/>
    <col min="22" max="22" width="16.140625" style="111" customWidth="1"/>
    <col min="23" max="23" width="25" style="111" customWidth="1"/>
    <col min="24" max="24" width="0.5703125" style="111" customWidth="1"/>
    <col min="25" max="25" width="17" style="111" customWidth="1"/>
    <col min="26" max="26" width="0.42578125" style="111" customWidth="1"/>
    <col min="27" max="27" width="23" style="111" customWidth="1"/>
    <col min="28" max="28" width="0.7109375" style="111" customWidth="1"/>
    <col min="29" max="29" width="28.85546875" style="111" customWidth="1"/>
    <col min="30" max="30" width="0.7109375" style="111" hidden="1" customWidth="1"/>
    <col min="31" max="31" width="29.7109375" style="111" customWidth="1"/>
    <col min="32" max="32" width="0.7109375" style="111" hidden="1" customWidth="1"/>
    <col min="33" max="33" width="16.5703125" style="111" customWidth="1"/>
    <col min="34" max="16384" width="9.140625" style="111"/>
  </cols>
  <sheetData>
    <row r="1" spans="1:33" s="110" customFormat="1" ht="24.75">
      <c r="A1" s="302" t="s">
        <v>89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</row>
    <row r="2" spans="1:33" s="110" customFormat="1" ht="24.75">
      <c r="A2" s="302" t="s">
        <v>50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</row>
    <row r="3" spans="1:33" s="110" customFormat="1" ht="24.75">
      <c r="A3" s="302" t="str">
        <f>' سهام'!A3:W3</f>
        <v>برای ماه منتهی به 1403/01/31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</row>
    <row r="4" spans="1:33" ht="24.75">
      <c r="A4" s="303" t="s">
        <v>66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</row>
    <row r="5" spans="1:33" ht="24.7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</row>
    <row r="6" spans="1:33" ht="27.75" customHeight="1" thickBot="1">
      <c r="A6" s="295" t="s">
        <v>67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 t="s">
        <v>269</v>
      </c>
      <c r="N6" s="295"/>
      <c r="O6" s="295"/>
      <c r="P6" s="295"/>
      <c r="Q6" s="295"/>
      <c r="R6" s="113"/>
      <c r="S6" s="304" t="s">
        <v>7</v>
      </c>
      <c r="T6" s="304"/>
      <c r="U6" s="304"/>
      <c r="V6" s="304"/>
      <c r="W6" s="304"/>
      <c r="X6" s="112"/>
      <c r="Y6" s="295" t="s">
        <v>288</v>
      </c>
      <c r="Z6" s="295"/>
      <c r="AA6" s="295"/>
      <c r="AB6" s="295"/>
      <c r="AC6" s="295"/>
      <c r="AD6" s="295"/>
      <c r="AE6" s="295"/>
      <c r="AF6" s="295"/>
      <c r="AG6" s="295"/>
    </row>
    <row r="7" spans="1:33" ht="26.25" customHeight="1">
      <c r="A7" s="293" t="s">
        <v>68</v>
      </c>
      <c r="B7" s="114"/>
      <c r="C7" s="299" t="s">
        <v>69</v>
      </c>
      <c r="D7" s="114"/>
      <c r="E7" s="301" t="s">
        <v>74</v>
      </c>
      <c r="F7" s="114"/>
      <c r="G7" s="294" t="s">
        <v>70</v>
      </c>
      <c r="H7" s="114"/>
      <c r="I7" s="299" t="s">
        <v>23</v>
      </c>
      <c r="J7" s="114"/>
      <c r="K7" s="301" t="s">
        <v>71</v>
      </c>
      <c r="L7" s="115"/>
      <c r="M7" s="297" t="s">
        <v>3</v>
      </c>
      <c r="N7" s="294"/>
      <c r="O7" s="294" t="s">
        <v>0</v>
      </c>
      <c r="P7" s="294"/>
      <c r="Q7" s="294" t="s">
        <v>21</v>
      </c>
      <c r="R7" s="114"/>
      <c r="S7" s="296" t="s">
        <v>4</v>
      </c>
      <c r="T7" s="296"/>
      <c r="U7" s="112"/>
      <c r="V7" s="296" t="s">
        <v>5</v>
      </c>
      <c r="W7" s="296"/>
      <c r="X7" s="112"/>
      <c r="Y7" s="297" t="s">
        <v>3</v>
      </c>
      <c r="Z7" s="293"/>
      <c r="AA7" s="294" t="s">
        <v>72</v>
      </c>
      <c r="AB7" s="114"/>
      <c r="AC7" s="294" t="s">
        <v>0</v>
      </c>
      <c r="AD7" s="293"/>
      <c r="AE7" s="294" t="s">
        <v>21</v>
      </c>
      <c r="AF7" s="116"/>
      <c r="AG7" s="294" t="s">
        <v>22</v>
      </c>
    </row>
    <row r="8" spans="1:33" s="119" customFormat="1" ht="55.5" customHeight="1" thickBot="1">
      <c r="A8" s="295"/>
      <c r="B8" s="114"/>
      <c r="C8" s="300"/>
      <c r="D8" s="114"/>
      <c r="E8" s="300"/>
      <c r="F8" s="114"/>
      <c r="G8" s="295"/>
      <c r="H8" s="114"/>
      <c r="I8" s="300"/>
      <c r="J8" s="114"/>
      <c r="K8" s="300"/>
      <c r="L8" s="113"/>
      <c r="M8" s="298"/>
      <c r="N8" s="293"/>
      <c r="O8" s="295"/>
      <c r="P8" s="293"/>
      <c r="Q8" s="295"/>
      <c r="R8" s="114"/>
      <c r="S8" s="117" t="s">
        <v>3</v>
      </c>
      <c r="T8" s="117" t="s">
        <v>0</v>
      </c>
      <c r="U8" s="118"/>
      <c r="V8" s="117" t="s">
        <v>3</v>
      </c>
      <c r="W8" s="117" t="s">
        <v>49</v>
      </c>
      <c r="X8" s="118"/>
      <c r="Y8" s="298"/>
      <c r="Z8" s="293"/>
      <c r="AA8" s="295"/>
      <c r="AB8" s="114"/>
      <c r="AC8" s="295"/>
      <c r="AD8" s="293"/>
      <c r="AE8" s="295"/>
      <c r="AF8" s="116"/>
      <c r="AG8" s="295"/>
    </row>
    <row r="9" spans="1:33" s="119" customFormat="1" ht="41.25" customHeight="1">
      <c r="A9" s="246" t="s">
        <v>120</v>
      </c>
      <c r="B9" s="114"/>
      <c r="C9" s="113" t="s">
        <v>93</v>
      </c>
      <c r="D9" s="114"/>
      <c r="E9" s="113" t="s">
        <v>93</v>
      </c>
      <c r="F9" s="114"/>
      <c r="G9" s="120" t="s">
        <v>121</v>
      </c>
      <c r="H9" s="120"/>
      <c r="I9" s="120" t="s">
        <v>122</v>
      </c>
      <c r="J9" s="114"/>
      <c r="K9" s="64" t="s">
        <v>135</v>
      </c>
      <c r="L9" s="113"/>
      <c r="M9" s="30">
        <v>345000</v>
      </c>
      <c r="N9" s="114"/>
      <c r="O9" s="30">
        <v>320584615384</v>
      </c>
      <c r="P9" s="114"/>
      <c r="Q9" s="30">
        <v>344934019377</v>
      </c>
      <c r="R9" s="114"/>
      <c r="S9" s="30">
        <v>0</v>
      </c>
      <c r="T9" s="30">
        <v>0</v>
      </c>
      <c r="U9" s="118"/>
      <c r="V9" s="30">
        <v>0</v>
      </c>
      <c r="W9" s="30">
        <v>0</v>
      </c>
      <c r="X9" s="118"/>
      <c r="Y9" s="30">
        <v>345000</v>
      </c>
      <c r="Z9" s="114"/>
      <c r="AA9" s="92">
        <v>999990</v>
      </c>
      <c r="AB9" s="114"/>
      <c r="AC9" s="30">
        <v>320584615384</v>
      </c>
      <c r="AD9" s="30">
        <v>344934019377</v>
      </c>
      <c r="AE9" s="30">
        <v>344934019377</v>
      </c>
      <c r="AF9" s="116"/>
      <c r="AG9" s="121">
        <f>AE9/درآمدها!$J$5</f>
        <v>9.2081793495599959E-2</v>
      </c>
    </row>
    <row r="10" spans="1:33" s="119" customFormat="1" ht="41.25" customHeight="1">
      <c r="A10" s="246" t="s">
        <v>231</v>
      </c>
      <c r="B10" s="114"/>
      <c r="C10" s="113" t="s">
        <v>93</v>
      </c>
      <c r="D10" s="114"/>
      <c r="E10" s="113" t="s">
        <v>93</v>
      </c>
      <c r="F10" s="114"/>
      <c r="G10" s="120" t="s">
        <v>233</v>
      </c>
      <c r="H10" s="120"/>
      <c r="I10" s="120" t="s">
        <v>235</v>
      </c>
      <c r="J10" s="114"/>
      <c r="K10" s="64" t="s">
        <v>135</v>
      </c>
      <c r="L10" s="113"/>
      <c r="M10" s="30">
        <v>327000</v>
      </c>
      <c r="N10" s="114"/>
      <c r="O10" s="30">
        <v>266780754218</v>
      </c>
      <c r="P10" s="114"/>
      <c r="Q10" s="30">
        <v>271355248946</v>
      </c>
      <c r="R10" s="114"/>
      <c r="S10" s="30">
        <v>0</v>
      </c>
      <c r="T10" s="30">
        <v>0</v>
      </c>
      <c r="U10" s="118"/>
      <c r="V10" s="30">
        <v>0</v>
      </c>
      <c r="W10" s="30">
        <v>0</v>
      </c>
      <c r="X10" s="118"/>
      <c r="Y10" s="30">
        <v>327000</v>
      </c>
      <c r="Z10" s="114"/>
      <c r="AA10" s="92">
        <v>855500</v>
      </c>
      <c r="AB10" s="114"/>
      <c r="AC10" s="30">
        <v>266780754218</v>
      </c>
      <c r="AD10" s="30">
        <v>269490705956</v>
      </c>
      <c r="AE10" s="30">
        <v>279697795586</v>
      </c>
      <c r="AF10" s="116"/>
      <c r="AG10" s="121">
        <f>AE10/درآمدها!$J$5</f>
        <v>7.4666670167361046E-2</v>
      </c>
    </row>
    <row r="11" spans="1:33" s="119" customFormat="1" ht="41.25" customHeight="1">
      <c r="A11" s="246" t="s">
        <v>143</v>
      </c>
      <c r="B11" s="114"/>
      <c r="C11" s="113" t="s">
        <v>93</v>
      </c>
      <c r="D11" s="114"/>
      <c r="E11" s="113" t="s">
        <v>93</v>
      </c>
      <c r="F11" s="114"/>
      <c r="G11" s="120" t="s">
        <v>144</v>
      </c>
      <c r="H11" s="20"/>
      <c r="I11" s="120" t="s">
        <v>146</v>
      </c>
      <c r="J11" s="114"/>
      <c r="K11" s="64" t="s">
        <v>135</v>
      </c>
      <c r="L11" s="113"/>
      <c r="M11" s="30">
        <v>723000</v>
      </c>
      <c r="N11" s="104">
        <v>200036250000</v>
      </c>
      <c r="O11" s="30">
        <v>739073488003</v>
      </c>
      <c r="P11" s="30"/>
      <c r="Q11" s="30">
        <v>764316093597</v>
      </c>
      <c r="R11" s="30"/>
      <c r="S11" s="30">
        <v>0</v>
      </c>
      <c r="T11" s="30">
        <v>0</v>
      </c>
      <c r="U11" s="30"/>
      <c r="V11" s="30">
        <v>723000</v>
      </c>
      <c r="W11" s="30">
        <v>771577949994</v>
      </c>
      <c r="X11" s="30"/>
      <c r="Y11" s="30">
        <v>0</v>
      </c>
      <c r="Z11" s="30"/>
      <c r="AA11" s="92">
        <v>0</v>
      </c>
      <c r="AB11" s="30"/>
      <c r="AC11" s="30">
        <v>0</v>
      </c>
      <c r="AD11" s="30">
        <v>764316093597</v>
      </c>
      <c r="AE11" s="30">
        <v>0</v>
      </c>
      <c r="AF11" s="122"/>
      <c r="AG11" s="121">
        <f>AE11/درآمدها!$J$5</f>
        <v>0</v>
      </c>
    </row>
    <row r="12" spans="1:33" s="119" customFormat="1" ht="41.25" customHeight="1">
      <c r="A12" s="246" t="s">
        <v>182</v>
      </c>
      <c r="B12" s="114"/>
      <c r="C12" s="120" t="s">
        <v>93</v>
      </c>
      <c r="D12" s="20"/>
      <c r="E12" s="120" t="s">
        <v>93</v>
      </c>
      <c r="F12" s="20"/>
      <c r="G12" s="120" t="s">
        <v>184</v>
      </c>
      <c r="H12" s="20"/>
      <c r="I12" s="120" t="s">
        <v>185</v>
      </c>
      <c r="J12" s="120"/>
      <c r="K12" s="64" t="s">
        <v>135</v>
      </c>
      <c r="L12" s="113"/>
      <c r="M12" s="30">
        <v>32000</v>
      </c>
      <c r="N12" s="105"/>
      <c r="O12" s="30">
        <v>19769911643</v>
      </c>
      <c r="P12" s="30"/>
      <c r="Q12" s="30">
        <v>19971067589</v>
      </c>
      <c r="R12" s="30"/>
      <c r="S12" s="30">
        <v>0</v>
      </c>
      <c r="T12" s="30">
        <v>0</v>
      </c>
      <c r="U12" s="30"/>
      <c r="V12" s="30">
        <v>0</v>
      </c>
      <c r="W12" s="30">
        <v>0</v>
      </c>
      <c r="X12" s="30"/>
      <c r="Y12" s="30">
        <v>32000</v>
      </c>
      <c r="Z12" s="30"/>
      <c r="AA12" s="92">
        <v>662000</v>
      </c>
      <c r="AB12" s="30"/>
      <c r="AC12" s="30">
        <v>19769911643</v>
      </c>
      <c r="AD12" s="30">
        <v>19833844465</v>
      </c>
      <c r="AE12" s="30">
        <v>21180160400</v>
      </c>
      <c r="AF12" s="123"/>
      <c r="AG12" s="121">
        <f>AE12/درآمدها!$J$5</f>
        <v>5.6541455658070975E-3</v>
      </c>
    </row>
    <row r="13" spans="1:33" s="119" customFormat="1" ht="41.25" customHeight="1">
      <c r="A13" s="246" t="s">
        <v>232</v>
      </c>
      <c r="B13" s="114"/>
      <c r="C13" s="120" t="s">
        <v>93</v>
      </c>
      <c r="D13" s="20"/>
      <c r="E13" s="120" t="s">
        <v>93</v>
      </c>
      <c r="F13" s="20"/>
      <c r="G13" s="120" t="s">
        <v>234</v>
      </c>
      <c r="H13" s="20"/>
      <c r="I13" s="120" t="s">
        <v>236</v>
      </c>
      <c r="J13" s="120"/>
      <c r="K13" s="64" t="s">
        <v>135</v>
      </c>
      <c r="L13" s="113"/>
      <c r="M13" s="30">
        <v>460000</v>
      </c>
      <c r="N13" s="105"/>
      <c r="O13" s="30">
        <v>299736973235</v>
      </c>
      <c r="P13" s="30"/>
      <c r="Q13" s="30">
        <v>300087779231</v>
      </c>
      <c r="R13" s="30"/>
      <c r="S13" s="30">
        <v>0</v>
      </c>
      <c r="T13" s="30">
        <v>0</v>
      </c>
      <c r="U13" s="30"/>
      <c r="V13" s="30">
        <v>0</v>
      </c>
      <c r="W13" s="30">
        <v>0</v>
      </c>
      <c r="X13" s="30"/>
      <c r="Y13" s="30">
        <v>460000</v>
      </c>
      <c r="Z13" s="30"/>
      <c r="AA13" s="92">
        <v>690600</v>
      </c>
      <c r="AB13" s="30"/>
      <c r="AC13" s="30">
        <v>299736973235</v>
      </c>
      <c r="AD13" s="30">
        <v>298025973000</v>
      </c>
      <c r="AE13" s="30">
        <v>317618421225</v>
      </c>
      <c r="AF13" s="123"/>
      <c r="AG13" s="121">
        <f>AE13/درآمدها!$J$5</f>
        <v>8.4789763347967118E-2</v>
      </c>
    </row>
    <row r="14" spans="1:33" s="119" customFormat="1" ht="41.25" customHeight="1" thickBot="1">
      <c r="A14" s="246" t="s">
        <v>157</v>
      </c>
      <c r="B14" s="114"/>
      <c r="C14" s="120" t="s">
        <v>93</v>
      </c>
      <c r="D14" s="20"/>
      <c r="E14" s="120" t="s">
        <v>93</v>
      </c>
      <c r="F14" s="20"/>
      <c r="G14" s="120" t="s">
        <v>158</v>
      </c>
      <c r="H14" s="20"/>
      <c r="I14" s="120" t="s">
        <v>159</v>
      </c>
      <c r="J14" s="120"/>
      <c r="K14" s="64" t="s">
        <v>135</v>
      </c>
      <c r="L14" s="113"/>
      <c r="M14" s="30">
        <v>355000</v>
      </c>
      <c r="N14" s="105"/>
      <c r="O14" s="30">
        <v>344932059406</v>
      </c>
      <c r="P14" s="30"/>
      <c r="Q14" s="30">
        <v>348103144869</v>
      </c>
      <c r="R14" s="30"/>
      <c r="S14" s="30">
        <v>0</v>
      </c>
      <c r="T14" s="30">
        <v>0</v>
      </c>
      <c r="U14" s="30"/>
      <c r="V14" s="30">
        <v>0</v>
      </c>
      <c r="W14" s="30">
        <v>0</v>
      </c>
      <c r="X14" s="30"/>
      <c r="Y14" s="30">
        <v>355000</v>
      </c>
      <c r="Z14" s="30"/>
      <c r="AA14" s="92">
        <v>960000</v>
      </c>
      <c r="AB14" s="30"/>
      <c r="AC14" s="30">
        <v>344932059406</v>
      </c>
      <c r="AD14" s="30">
        <v>348103144869</v>
      </c>
      <c r="AE14" s="30">
        <v>340738230000</v>
      </c>
      <c r="AF14" s="123"/>
      <c r="AG14" s="121">
        <f>AE14/درآمدها!$J$5</f>
        <v>9.0961707365325661E-2</v>
      </c>
    </row>
    <row r="15" spans="1:33" s="249" customFormat="1" ht="32.25" thickBot="1">
      <c r="A15" s="1" t="s">
        <v>2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61"/>
      <c r="N15" s="95"/>
      <c r="O15" s="262">
        <f>SUM(O9:O14)</f>
        <v>1990877801889</v>
      </c>
      <c r="P15" s="111"/>
      <c r="Q15" s="262">
        <f>SUM(Q9:Q14)</f>
        <v>2048767353609</v>
      </c>
      <c r="R15" s="111"/>
      <c r="S15" s="261"/>
      <c r="T15" s="262">
        <f>SUM(T9:T14)</f>
        <v>0</v>
      </c>
      <c r="U15" s="111"/>
      <c r="V15" s="261"/>
      <c r="W15" s="262">
        <f>SUM(W9:X14)</f>
        <v>771577949994</v>
      </c>
      <c r="X15" s="111"/>
      <c r="Y15" s="261"/>
      <c r="Z15" s="111"/>
      <c r="AA15" s="111"/>
      <c r="AB15" s="111"/>
      <c r="AC15" s="262">
        <f>SUM(AC9:AC14)</f>
        <v>1251804313886</v>
      </c>
      <c r="AD15" s="111"/>
      <c r="AE15" s="262">
        <f>SUM(AE9:AE14)</f>
        <v>1304168626588</v>
      </c>
      <c r="AF15" s="111"/>
      <c r="AG15" s="248">
        <f>SUM(AG9:AG14)</f>
        <v>0.34815407994206088</v>
      </c>
    </row>
    <row r="16" spans="1:33" s="124" customFormat="1" ht="32.25" thickTop="1">
      <c r="M16" s="111"/>
      <c r="N16" s="111"/>
      <c r="P16" s="111"/>
      <c r="R16" s="111"/>
      <c r="S16" s="111"/>
      <c r="U16" s="111"/>
      <c r="V16" s="111"/>
      <c r="X16" s="111"/>
      <c r="Y16" s="111"/>
      <c r="Z16" s="111"/>
      <c r="AA16" s="111"/>
      <c r="AB16" s="111"/>
      <c r="AD16" s="111"/>
      <c r="AF16" s="111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G22"/>
  <sheetViews>
    <sheetView rightToLeft="1" view="pageBreakPreview" zoomScale="70" zoomScaleNormal="56" zoomScaleSheetLayoutView="70" workbookViewId="0">
      <selection activeCell="M9" sqref="M9"/>
    </sheetView>
  </sheetViews>
  <sheetFormatPr defaultRowHeight="15"/>
  <cols>
    <col min="1" max="1" width="30.42578125" customWidth="1"/>
    <col min="2" max="2" width="2" customWidth="1"/>
    <col min="3" max="3" width="12.5703125" customWidth="1"/>
    <col min="4" max="4" width="2" customWidth="1"/>
    <col min="5" max="5" width="15.85546875" customWidth="1"/>
    <col min="6" max="6" width="2" customWidth="1"/>
    <col min="7" max="7" width="14.140625" customWidth="1"/>
    <col min="8" max="8" width="2" customWidth="1"/>
    <col min="9" max="9" width="11.42578125" customWidth="1"/>
    <col min="10" max="10" width="2" customWidth="1"/>
    <col min="11" max="11" width="19.7109375" customWidth="1"/>
    <col min="12" max="12" width="2" customWidth="1"/>
    <col min="13" max="13" width="47" customWidth="1"/>
    <col min="14" max="14" width="20.140625" bestFit="1" customWidth="1"/>
    <col min="15" max="15" width="17.28515625" style="101" customWidth="1"/>
    <col min="16" max="16" width="16.7109375" bestFit="1" customWidth="1"/>
  </cols>
  <sheetData>
    <row r="1" spans="1:33" s="110" customFormat="1" ht="24.75">
      <c r="A1" s="296" t="s">
        <v>89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125"/>
      <c r="O1" s="96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3" s="110" customFormat="1" ht="24.75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125"/>
      <c r="O2" s="96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</row>
    <row r="3" spans="1:33" s="110" customFormat="1" ht="24.75">
      <c r="A3" s="296" t="str">
        <f>' سهام'!A3:W3</f>
        <v>برای ماه منتهی به 1403/01/31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125"/>
      <c r="O3" s="96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</row>
    <row r="5" spans="1:33" s="126" customFormat="1" ht="22.5">
      <c r="A5" s="305" t="s">
        <v>100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97"/>
      <c r="O5" s="98"/>
      <c r="P5" s="99"/>
    </row>
    <row r="6" spans="1:33" s="126" customFormat="1" ht="22.5">
      <c r="A6" s="305" t="s">
        <v>104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97"/>
      <c r="O6" s="98"/>
      <c r="P6" s="99"/>
    </row>
    <row r="7" spans="1:33" s="126" customFormat="1" ht="47.1" customHeight="1" thickBot="1">
      <c r="A7" s="127"/>
    </row>
    <row r="8" spans="1:33" ht="42">
      <c r="A8" s="128" t="s">
        <v>94</v>
      </c>
      <c r="B8" s="129"/>
      <c r="C8" s="130" t="s">
        <v>95</v>
      </c>
      <c r="D8" s="129"/>
      <c r="E8" s="243" t="s">
        <v>101</v>
      </c>
      <c r="F8" s="129"/>
      <c r="G8" s="130" t="s">
        <v>96</v>
      </c>
      <c r="H8" s="129"/>
      <c r="I8" s="130" t="s">
        <v>97</v>
      </c>
      <c r="J8" s="129"/>
      <c r="K8" s="130" t="s">
        <v>98</v>
      </c>
      <c r="L8" s="129"/>
      <c r="M8" s="224" t="s">
        <v>99</v>
      </c>
      <c r="N8" s="126"/>
      <c r="O8" s="126"/>
      <c r="P8" s="126"/>
      <c r="Q8" s="126"/>
    </row>
    <row r="9" spans="1:33" ht="58.5" customHeight="1">
      <c r="A9" s="131" t="s">
        <v>330</v>
      </c>
      <c r="B9" s="132"/>
      <c r="C9" s="133">
        <v>327000</v>
      </c>
      <c r="D9" s="132"/>
      <c r="E9" s="138">
        <v>840010</v>
      </c>
      <c r="F9" s="132"/>
      <c r="G9" s="139">
        <v>855500</v>
      </c>
      <c r="H9" s="132"/>
      <c r="I9" s="134">
        <f>(G9-E9)/E9*100</f>
        <v>1.8440256663611148</v>
      </c>
      <c r="J9" s="132"/>
      <c r="K9" s="138">
        <f>اوراق!AE10</f>
        <v>279697795586</v>
      </c>
      <c r="L9" s="138"/>
      <c r="M9" s="139" t="s">
        <v>333</v>
      </c>
      <c r="N9" s="100"/>
      <c r="O9" s="136"/>
      <c r="P9" s="107"/>
      <c r="Q9" s="126"/>
    </row>
    <row r="10" spans="1:33" ht="58.5" customHeight="1">
      <c r="A10" s="137" t="s">
        <v>331</v>
      </c>
      <c r="B10" s="132"/>
      <c r="C10" s="138">
        <v>460000</v>
      </c>
      <c r="D10" s="132"/>
      <c r="E10" s="138">
        <v>662700</v>
      </c>
      <c r="F10" s="132"/>
      <c r="G10" s="139">
        <v>690600</v>
      </c>
      <c r="H10" s="132"/>
      <c r="I10" s="134">
        <f t="shared" ref="I10:I11" si="0">(G10-E10)/E10*100</f>
        <v>4.2100497962879135</v>
      </c>
      <c r="J10" s="132"/>
      <c r="K10" s="138">
        <f>اوراق!AE13</f>
        <v>317618421225</v>
      </c>
      <c r="L10" s="138"/>
      <c r="M10" s="139" t="s">
        <v>333</v>
      </c>
      <c r="N10" s="100"/>
      <c r="O10" s="136"/>
      <c r="P10" s="107"/>
      <c r="Q10" s="126"/>
    </row>
    <row r="11" spans="1:33" ht="58.5" customHeight="1">
      <c r="A11" s="137" t="s">
        <v>332</v>
      </c>
      <c r="B11" s="132"/>
      <c r="C11" s="138">
        <v>32000</v>
      </c>
      <c r="D11" s="132"/>
      <c r="E11" s="138">
        <v>631540</v>
      </c>
      <c r="F11" s="132"/>
      <c r="G11" s="139">
        <v>662000</v>
      </c>
      <c r="H11" s="132"/>
      <c r="I11" s="134">
        <f t="shared" si="0"/>
        <v>4.8231307597301836</v>
      </c>
      <c r="J11" s="132"/>
      <c r="K11" s="138">
        <f>اوراق!AE12</f>
        <v>21180160400</v>
      </c>
      <c r="L11" s="138"/>
      <c r="M11" s="139" t="s">
        <v>333</v>
      </c>
      <c r="N11" s="100"/>
      <c r="O11" s="136"/>
      <c r="P11" s="107"/>
      <c r="Q11" s="126"/>
    </row>
    <row r="12" spans="1:33" ht="22.5">
      <c r="A12" s="138"/>
      <c r="B12" s="138"/>
      <c r="C12" s="138"/>
      <c r="D12" s="138"/>
      <c r="E12" s="138"/>
      <c r="F12" s="138"/>
      <c r="G12" s="138"/>
      <c r="H12" s="138"/>
      <c r="I12" s="134"/>
      <c r="J12" s="138"/>
      <c r="K12" s="138"/>
      <c r="L12" s="138"/>
      <c r="M12" s="138"/>
      <c r="N12" s="100"/>
      <c r="O12" s="136"/>
      <c r="P12" s="107"/>
      <c r="Q12" s="126"/>
    </row>
    <row r="13" spans="1:33" ht="22.5">
      <c r="C13" s="140"/>
      <c r="L13" s="135"/>
    </row>
    <row r="14" spans="1:33">
      <c r="C14" s="140"/>
    </row>
    <row r="16" spans="1:33" ht="22.5">
      <c r="G16" s="141"/>
      <c r="N16" s="97"/>
    </row>
    <row r="17" spans="5:14" ht="22.5">
      <c r="E17" s="138"/>
      <c r="N17" s="97"/>
    </row>
    <row r="18" spans="5:14" ht="22.5">
      <c r="N18" s="97"/>
    </row>
    <row r="20" spans="5:14">
      <c r="K20" s="140"/>
      <c r="M20" s="142"/>
    </row>
    <row r="21" spans="5:14">
      <c r="K21" s="140"/>
    </row>
    <row r="22" spans="5:14">
      <c r="M22" s="140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53"/>
  <sheetViews>
    <sheetView rightToLeft="1" view="pageBreakPreview" zoomScale="55" zoomScaleNormal="100" zoomScaleSheetLayoutView="55" workbookViewId="0">
      <selection activeCell="O18" sqref="O18"/>
    </sheetView>
  </sheetViews>
  <sheetFormatPr defaultColWidth="9.140625" defaultRowHeight="16.5"/>
  <cols>
    <col min="1" max="1" width="33.7109375" style="143" customWidth="1"/>
    <col min="2" max="2" width="0.7109375" style="143" customWidth="1"/>
    <col min="3" max="3" width="24.28515625" style="143" customWidth="1"/>
    <col min="4" max="4" width="0.7109375" style="143" customWidth="1"/>
    <col min="5" max="5" width="18.28515625" style="143" customWidth="1"/>
    <col min="6" max="6" width="0.7109375" style="143" customWidth="1"/>
    <col min="7" max="7" width="10.42578125" style="143" customWidth="1"/>
    <col min="8" max="8" width="0.7109375" style="143" customWidth="1"/>
    <col min="9" max="9" width="9.85546875" style="157" customWidth="1"/>
    <col min="10" max="10" width="0.5703125" style="143" customWidth="1"/>
    <col min="11" max="11" width="19.85546875" style="70" customWidth="1"/>
    <col min="12" max="12" width="0.7109375" style="143" customWidth="1"/>
    <col min="13" max="13" width="21.85546875" style="143" customWidth="1"/>
    <col min="14" max="14" width="0.42578125" style="143" customWidth="1"/>
    <col min="15" max="15" width="18.42578125" style="143" customWidth="1"/>
    <col min="16" max="16" width="0.42578125" style="143" customWidth="1"/>
    <col min="17" max="17" width="17.28515625" style="143" customWidth="1"/>
    <col min="18" max="18" width="0.5703125" style="143" customWidth="1"/>
    <col min="19" max="19" width="12.140625" style="143" customWidth="1"/>
    <col min="21" max="16384" width="9.140625" style="143"/>
  </cols>
  <sheetData>
    <row r="1" spans="1:20" ht="18.75">
      <c r="A1" s="323" t="s">
        <v>89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143"/>
    </row>
    <row r="2" spans="1:20" ht="18.75">
      <c r="A2" s="323" t="s">
        <v>50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143"/>
    </row>
    <row r="3" spans="1:20" ht="18.75">
      <c r="A3" s="323" t="str">
        <f>' سهام'!A3:W3</f>
        <v>برای ماه منتهی به 1403/01/31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143"/>
    </row>
    <row r="4" spans="1:20" ht="18.75">
      <c r="A4" s="309" t="s">
        <v>51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143"/>
    </row>
    <row r="5" spans="1:20" ht="18.75" thickBot="1">
      <c r="A5" s="144"/>
      <c r="B5" s="144"/>
      <c r="C5" s="145"/>
      <c r="D5" s="145"/>
      <c r="E5" s="145"/>
      <c r="F5" s="145"/>
      <c r="G5" s="145"/>
      <c r="H5" s="145"/>
      <c r="I5" s="146"/>
      <c r="J5" s="145"/>
      <c r="K5" s="65"/>
      <c r="L5" s="145"/>
      <c r="M5" s="145"/>
      <c r="N5" s="145"/>
      <c r="O5" s="145"/>
      <c r="P5" s="145"/>
      <c r="Q5" s="145"/>
      <c r="R5" s="145"/>
      <c r="S5" s="145"/>
      <c r="T5" s="143"/>
    </row>
    <row r="6" spans="1:20" ht="18.75" customHeight="1" thickBot="1">
      <c r="A6" s="147"/>
      <c r="B6" s="144"/>
      <c r="C6" s="321" t="s">
        <v>11</v>
      </c>
      <c r="D6" s="321"/>
      <c r="E6" s="321"/>
      <c r="F6" s="321"/>
      <c r="G6" s="321"/>
      <c r="H6" s="321"/>
      <c r="I6" s="321"/>
      <c r="J6" s="148"/>
      <c r="K6" s="66" t="s">
        <v>269</v>
      </c>
      <c r="L6" s="149"/>
      <c r="M6" s="322" t="s">
        <v>7</v>
      </c>
      <c r="N6" s="322"/>
      <c r="O6" s="322"/>
      <c r="P6" s="150"/>
      <c r="Q6" s="227" t="s">
        <v>288</v>
      </c>
      <c r="R6" s="228"/>
      <c r="S6" s="228"/>
      <c r="T6" s="143"/>
    </row>
    <row r="7" spans="1:20" ht="24" customHeight="1">
      <c r="A7" s="312" t="s">
        <v>8</v>
      </c>
      <c r="B7" s="151"/>
      <c r="C7" s="316" t="s">
        <v>9</v>
      </c>
      <c r="D7" s="151"/>
      <c r="E7" s="316" t="s">
        <v>10</v>
      </c>
      <c r="F7" s="151"/>
      <c r="G7" s="316" t="s">
        <v>34</v>
      </c>
      <c r="H7" s="151"/>
      <c r="I7" s="317" t="s">
        <v>87</v>
      </c>
      <c r="J7" s="312"/>
      <c r="K7" s="314" t="s">
        <v>6</v>
      </c>
      <c r="L7" s="151"/>
      <c r="M7" s="319" t="s">
        <v>36</v>
      </c>
      <c r="N7" s="152"/>
      <c r="O7" s="319" t="s">
        <v>37</v>
      </c>
      <c r="P7" s="144"/>
      <c r="Q7" s="310" t="s">
        <v>6</v>
      </c>
      <c r="R7" s="312"/>
      <c r="S7" s="307" t="s">
        <v>22</v>
      </c>
      <c r="T7" s="143"/>
    </row>
    <row r="8" spans="1:20" ht="18.75" thickBot="1">
      <c r="A8" s="313"/>
      <c r="B8" s="151"/>
      <c r="C8" s="308"/>
      <c r="D8" s="153"/>
      <c r="E8" s="308"/>
      <c r="F8" s="153"/>
      <c r="G8" s="308"/>
      <c r="H8" s="153"/>
      <c r="I8" s="318"/>
      <c r="J8" s="312"/>
      <c r="K8" s="315"/>
      <c r="L8" s="151"/>
      <c r="M8" s="320"/>
      <c r="N8" s="144"/>
      <c r="O8" s="320"/>
      <c r="P8" s="144"/>
      <c r="Q8" s="311"/>
      <c r="R8" s="312"/>
      <c r="S8" s="308"/>
      <c r="T8" s="143"/>
    </row>
    <row r="9" spans="1:20" s="144" customFormat="1" ht="18">
      <c r="A9" s="154" t="s">
        <v>117</v>
      </c>
      <c r="C9" s="209" t="s">
        <v>128</v>
      </c>
      <c r="D9" s="210"/>
      <c r="E9" s="154" t="s">
        <v>90</v>
      </c>
      <c r="G9" s="155"/>
      <c r="I9" s="264">
        <v>0.05</v>
      </c>
      <c r="J9" s="68"/>
      <c r="K9" s="68">
        <v>4721747713</v>
      </c>
      <c r="L9" s="68"/>
      <c r="M9" s="67">
        <v>356641081516</v>
      </c>
      <c r="N9" s="68"/>
      <c r="O9" s="67">
        <v>357638340434</v>
      </c>
      <c r="P9" s="68"/>
      <c r="Q9" s="68">
        <v>3724488795</v>
      </c>
      <c r="S9" s="69">
        <f>Q9/درآمدها!$J$5</f>
        <v>9.9427017583622601E-4</v>
      </c>
    </row>
    <row r="10" spans="1:20" s="144" customFormat="1" ht="18">
      <c r="A10" s="154" t="s">
        <v>292</v>
      </c>
      <c r="C10" s="209" t="s">
        <v>297</v>
      </c>
      <c r="D10" s="210"/>
      <c r="E10" s="154" t="s">
        <v>102</v>
      </c>
      <c r="G10" s="155"/>
      <c r="I10" s="265">
        <v>0.22500000000000001</v>
      </c>
      <c r="J10" s="68"/>
      <c r="K10" s="68">
        <v>0</v>
      </c>
      <c r="L10" s="68"/>
      <c r="M10" s="67">
        <v>100000000000</v>
      </c>
      <c r="N10" s="68"/>
      <c r="O10" s="67">
        <v>0</v>
      </c>
      <c r="P10" s="68"/>
      <c r="Q10" s="68">
        <v>100000000000</v>
      </c>
      <c r="S10" s="69">
        <f>Q10/درآمدها!$J$5</f>
        <v>2.6695480388369001E-2</v>
      </c>
    </row>
    <row r="11" spans="1:20" s="144" customFormat="1" ht="18.75" customHeight="1">
      <c r="A11" s="154" t="s">
        <v>115</v>
      </c>
      <c r="C11" s="209" t="s">
        <v>107</v>
      </c>
      <c r="D11" s="210"/>
      <c r="E11" s="154" t="s">
        <v>90</v>
      </c>
      <c r="G11" s="155"/>
      <c r="I11" s="264">
        <v>0.05</v>
      </c>
      <c r="J11" s="68"/>
      <c r="K11" s="68">
        <v>1702197</v>
      </c>
      <c r="L11" s="68"/>
      <c r="M11" s="67">
        <v>550000004678</v>
      </c>
      <c r="N11" s="68"/>
      <c r="O11" s="67">
        <v>550000504000</v>
      </c>
      <c r="P11" s="68"/>
      <c r="Q11" s="68">
        <v>1202875</v>
      </c>
      <c r="S11" s="69">
        <f>Q11/درآمدها!$J$5</f>
        <v>3.2111325972159363E-7</v>
      </c>
    </row>
    <row r="12" spans="1:20" s="144" customFormat="1" ht="19.5" customHeight="1">
      <c r="A12" s="154" t="s">
        <v>293</v>
      </c>
      <c r="C12" s="209" t="s">
        <v>298</v>
      </c>
      <c r="D12" s="210"/>
      <c r="E12" s="154" t="s">
        <v>102</v>
      </c>
      <c r="G12" s="155"/>
      <c r="I12" s="265">
        <v>0.22500000000000001</v>
      </c>
      <c r="J12" s="68"/>
      <c r="K12" s="68">
        <v>0</v>
      </c>
      <c r="L12" s="68"/>
      <c r="M12" s="67">
        <v>450000000000</v>
      </c>
      <c r="N12" s="68"/>
      <c r="O12" s="67">
        <v>0</v>
      </c>
      <c r="P12" s="68"/>
      <c r="Q12" s="68">
        <v>450000000000</v>
      </c>
      <c r="S12" s="69">
        <f>Q12/درآمدها!$J$5</f>
        <v>0.1201296617476605</v>
      </c>
    </row>
    <row r="13" spans="1:20" s="144" customFormat="1" ht="19.5" customHeight="1">
      <c r="A13" s="154" t="s">
        <v>276</v>
      </c>
      <c r="C13" s="209" t="s">
        <v>283</v>
      </c>
      <c r="D13" s="210"/>
      <c r="E13" s="154" t="s">
        <v>102</v>
      </c>
      <c r="G13" s="155"/>
      <c r="I13" s="265">
        <v>0.22500000000000001</v>
      </c>
      <c r="J13" s="68"/>
      <c r="K13" s="68">
        <v>695000000000</v>
      </c>
      <c r="L13" s="68"/>
      <c r="M13" s="67">
        <v>0</v>
      </c>
      <c r="N13" s="68"/>
      <c r="O13" s="67">
        <v>39740000000</v>
      </c>
      <c r="P13" s="68"/>
      <c r="Q13" s="68">
        <v>655260000000</v>
      </c>
      <c r="S13" s="69">
        <f>Q13/درآمدها!$J$5</f>
        <v>0.17492480479282671</v>
      </c>
    </row>
    <row r="14" spans="1:20" s="144" customFormat="1" ht="19.5" customHeight="1">
      <c r="A14" s="154" t="s">
        <v>240</v>
      </c>
      <c r="C14" s="209" t="s">
        <v>256</v>
      </c>
      <c r="D14" s="210"/>
      <c r="E14" s="154" t="s">
        <v>90</v>
      </c>
      <c r="G14" s="155"/>
      <c r="I14" s="264">
        <v>0.05</v>
      </c>
      <c r="J14" s="68"/>
      <c r="K14" s="68">
        <v>219822</v>
      </c>
      <c r="L14" s="68"/>
      <c r="M14" s="67">
        <v>1506849315</v>
      </c>
      <c r="N14" s="68"/>
      <c r="O14" s="67">
        <v>0</v>
      </c>
      <c r="P14" s="68"/>
      <c r="Q14" s="68">
        <v>1507069137</v>
      </c>
      <c r="S14" s="69">
        <f>Q14/درآمدها!$J$5</f>
        <v>4.0231934590699694E-4</v>
      </c>
    </row>
    <row r="15" spans="1:20" s="144" customFormat="1" ht="19.5" customHeight="1">
      <c r="A15" s="154" t="s">
        <v>294</v>
      </c>
      <c r="C15" s="209" t="s">
        <v>299</v>
      </c>
      <c r="D15" s="210"/>
      <c r="E15" s="154" t="s">
        <v>102</v>
      </c>
      <c r="G15" s="155"/>
      <c r="I15" s="265">
        <v>0.22500000000000001</v>
      </c>
      <c r="J15" s="68"/>
      <c r="K15" s="67">
        <v>0</v>
      </c>
      <c r="L15" s="68"/>
      <c r="M15" s="67">
        <v>598000000000</v>
      </c>
      <c r="N15" s="68"/>
      <c r="O15" s="67">
        <v>0</v>
      </c>
      <c r="P15" s="68"/>
      <c r="Q15" s="68">
        <v>598000000000</v>
      </c>
      <c r="S15" s="69">
        <f>Q15/درآمدها!$J$5</f>
        <v>0.15963897272244662</v>
      </c>
    </row>
    <row r="16" spans="1:20" s="144" customFormat="1" ht="19.5" customHeight="1">
      <c r="A16" s="154" t="s">
        <v>271</v>
      </c>
      <c r="C16" s="209" t="s">
        <v>278</v>
      </c>
      <c r="D16" s="210"/>
      <c r="E16" s="154" t="s">
        <v>102</v>
      </c>
      <c r="G16" s="155"/>
      <c r="I16" s="265">
        <v>0.22500000000000001</v>
      </c>
      <c r="J16" s="68"/>
      <c r="K16" s="68">
        <v>6100000000</v>
      </c>
      <c r="L16" s="68"/>
      <c r="M16" s="67">
        <v>0</v>
      </c>
      <c r="N16" s="68"/>
      <c r="O16" s="67">
        <v>0</v>
      </c>
      <c r="P16" s="68"/>
      <c r="Q16" s="68">
        <v>6100000000</v>
      </c>
      <c r="S16" s="69">
        <f>Q16/درآمدها!$J$5</f>
        <v>1.628424303690509E-3</v>
      </c>
    </row>
    <row r="17" spans="1:19" s="144" customFormat="1" ht="19.5" customHeight="1">
      <c r="A17" s="154" t="s">
        <v>203</v>
      </c>
      <c r="C17" s="211" t="s">
        <v>225</v>
      </c>
      <c r="D17" s="210"/>
      <c r="E17" s="154" t="s">
        <v>102</v>
      </c>
      <c r="G17" s="155"/>
      <c r="I17" s="265">
        <v>0.22500000000000001</v>
      </c>
      <c r="J17" s="68"/>
      <c r="K17" s="68">
        <v>500000000</v>
      </c>
      <c r="L17" s="68"/>
      <c r="M17" s="67">
        <v>0</v>
      </c>
      <c r="N17" s="68"/>
      <c r="O17" s="67">
        <v>0</v>
      </c>
      <c r="P17" s="68"/>
      <c r="Q17" s="68">
        <v>500000000</v>
      </c>
      <c r="S17" s="69">
        <f>Q17/درآمدها!$J$5</f>
        <v>1.33477401941845E-4</v>
      </c>
    </row>
    <row r="18" spans="1:19" s="144" customFormat="1" ht="19.5" customHeight="1">
      <c r="A18" s="154" t="s">
        <v>192</v>
      </c>
      <c r="C18" s="209" t="s">
        <v>214</v>
      </c>
      <c r="D18" s="210"/>
      <c r="E18" s="154" t="s">
        <v>102</v>
      </c>
      <c r="G18" s="155"/>
      <c r="I18" s="265">
        <v>0.22500000000000001</v>
      </c>
      <c r="J18" s="68"/>
      <c r="K18" s="68">
        <v>4560000000</v>
      </c>
      <c r="L18" s="68"/>
      <c r="M18" s="67">
        <v>0</v>
      </c>
      <c r="N18" s="68"/>
      <c r="O18" s="67">
        <v>4560000000</v>
      </c>
      <c r="P18" s="68"/>
      <c r="Q18" s="68">
        <v>0</v>
      </c>
      <c r="S18" s="69">
        <f>Q18/درآمدها!$J$5</f>
        <v>0</v>
      </c>
    </row>
    <row r="19" spans="1:19" s="144" customFormat="1" ht="19.5" customHeight="1">
      <c r="A19" s="154" t="s">
        <v>195</v>
      </c>
      <c r="C19" s="209" t="s">
        <v>217</v>
      </c>
      <c r="D19" s="210"/>
      <c r="E19" s="154" t="s">
        <v>102</v>
      </c>
      <c r="G19" s="155"/>
      <c r="I19" s="265">
        <v>0.22500000000000001</v>
      </c>
      <c r="J19" s="68"/>
      <c r="K19" s="67">
        <v>5000000000</v>
      </c>
      <c r="L19" s="68"/>
      <c r="M19" s="67">
        <v>0</v>
      </c>
      <c r="N19" s="68"/>
      <c r="O19" s="67">
        <v>0</v>
      </c>
      <c r="P19" s="68"/>
      <c r="Q19" s="68">
        <v>5000000000</v>
      </c>
      <c r="S19" s="69">
        <f>Q19/درآمدها!$J$5</f>
        <v>1.3347740194184501E-3</v>
      </c>
    </row>
    <row r="20" spans="1:19" s="144" customFormat="1" ht="19.5" customHeight="1">
      <c r="A20" s="154" t="s">
        <v>249</v>
      </c>
      <c r="C20" s="209" t="s">
        <v>265</v>
      </c>
      <c r="D20" s="210"/>
      <c r="E20" s="154" t="s">
        <v>102</v>
      </c>
      <c r="G20" s="155"/>
      <c r="I20" s="265">
        <v>0.22500000000000001</v>
      </c>
      <c r="J20" s="68"/>
      <c r="K20" s="68">
        <v>23706000000</v>
      </c>
      <c r="L20" s="68"/>
      <c r="M20" s="67">
        <v>0</v>
      </c>
      <c r="N20" s="68"/>
      <c r="O20" s="67">
        <v>0</v>
      </c>
      <c r="P20" s="68"/>
      <c r="Q20" s="68">
        <v>23706000000</v>
      </c>
      <c r="S20" s="69">
        <f>Q20/درآمدها!$J$5</f>
        <v>6.3284305808667552E-3</v>
      </c>
    </row>
    <row r="21" spans="1:19" s="144" customFormat="1" ht="19.5" customHeight="1">
      <c r="A21" s="154" t="s">
        <v>250</v>
      </c>
      <c r="C21" s="209" t="s">
        <v>266</v>
      </c>
      <c r="D21" s="210"/>
      <c r="E21" s="154" t="s">
        <v>102</v>
      </c>
      <c r="G21" s="155"/>
      <c r="I21" s="265">
        <v>0.22500000000000001</v>
      </c>
      <c r="J21" s="68"/>
      <c r="K21" s="68">
        <v>0</v>
      </c>
      <c r="L21" s="68"/>
      <c r="M21" s="67">
        <v>0</v>
      </c>
      <c r="N21" s="68"/>
      <c r="O21" s="67">
        <v>0</v>
      </c>
      <c r="P21" s="68"/>
      <c r="Q21" s="68">
        <v>0</v>
      </c>
      <c r="S21" s="69">
        <f>Q21/درآمدها!$J$5</f>
        <v>0</v>
      </c>
    </row>
    <row r="22" spans="1:19" s="144" customFormat="1" ht="19.5" customHeight="1">
      <c r="A22" s="154" t="s">
        <v>245</v>
      </c>
      <c r="C22" s="209" t="s">
        <v>261</v>
      </c>
      <c r="D22" s="210"/>
      <c r="E22" s="154" t="s">
        <v>102</v>
      </c>
      <c r="G22" s="155"/>
      <c r="I22" s="265">
        <v>0.22500000000000001</v>
      </c>
      <c r="J22" s="68"/>
      <c r="K22" s="68">
        <v>3000000000</v>
      </c>
      <c r="L22" s="68"/>
      <c r="M22" s="67">
        <v>0</v>
      </c>
      <c r="N22" s="68"/>
      <c r="O22" s="67">
        <v>0</v>
      </c>
      <c r="P22" s="68"/>
      <c r="Q22" s="68">
        <v>3000000000</v>
      </c>
      <c r="S22" s="69">
        <f>Q22/درآمدها!$J$5</f>
        <v>8.0086441165106998E-4</v>
      </c>
    </row>
    <row r="23" spans="1:19" s="144" customFormat="1" ht="19.5" customHeight="1">
      <c r="A23" s="154" t="s">
        <v>243</v>
      </c>
      <c r="C23" s="209" t="s">
        <v>259</v>
      </c>
      <c r="D23" s="210"/>
      <c r="E23" s="154" t="s">
        <v>102</v>
      </c>
      <c r="G23" s="155"/>
      <c r="I23" s="265">
        <v>0.22500000000000001</v>
      </c>
      <c r="J23" s="68"/>
      <c r="K23" s="67">
        <v>16842000000</v>
      </c>
      <c r="L23" s="68"/>
      <c r="M23" s="67">
        <v>0</v>
      </c>
      <c r="N23" s="68"/>
      <c r="O23" s="67">
        <v>0</v>
      </c>
      <c r="P23" s="68"/>
      <c r="Q23" s="68">
        <v>16842000000</v>
      </c>
      <c r="S23" s="69">
        <f>Q23/درآمدها!$J$5</f>
        <v>4.4960528070091075E-3</v>
      </c>
    </row>
    <row r="24" spans="1:19" s="144" customFormat="1" ht="19.5" customHeight="1">
      <c r="A24" s="154" t="s">
        <v>242</v>
      </c>
      <c r="C24" s="209" t="s">
        <v>258</v>
      </c>
      <c r="D24" s="210"/>
      <c r="E24" s="154" t="s">
        <v>102</v>
      </c>
      <c r="G24" s="155"/>
      <c r="I24" s="265">
        <v>0.22500000000000001</v>
      </c>
      <c r="J24" s="68"/>
      <c r="K24" s="68">
        <v>4475000000</v>
      </c>
      <c r="L24" s="68"/>
      <c r="M24" s="67">
        <v>0</v>
      </c>
      <c r="N24" s="68"/>
      <c r="O24" s="67">
        <v>0</v>
      </c>
      <c r="P24" s="68"/>
      <c r="Q24" s="68">
        <v>4475000000</v>
      </c>
      <c r="S24" s="69">
        <f>Q24/درآمدها!$J$5</f>
        <v>1.1946227473795129E-3</v>
      </c>
    </row>
    <row r="25" spans="1:19" s="144" customFormat="1" ht="19.5" customHeight="1">
      <c r="A25" s="154" t="s">
        <v>241</v>
      </c>
      <c r="C25" s="209" t="s">
        <v>257</v>
      </c>
      <c r="D25" s="210"/>
      <c r="E25" s="154" t="s">
        <v>102</v>
      </c>
      <c r="G25" s="155"/>
      <c r="I25" s="265">
        <v>0.22500000000000001</v>
      </c>
      <c r="J25" s="68"/>
      <c r="K25" s="67">
        <v>2000000000</v>
      </c>
      <c r="L25" s="68"/>
      <c r="M25" s="67">
        <v>0</v>
      </c>
      <c r="N25" s="68"/>
      <c r="O25" s="67">
        <v>0</v>
      </c>
      <c r="P25" s="68"/>
      <c r="Q25" s="68">
        <v>2000000000</v>
      </c>
      <c r="S25" s="69">
        <f>Q25/درآمدها!$J$5</f>
        <v>5.3390960776737999E-4</v>
      </c>
    </row>
    <row r="26" spans="1:19" s="144" customFormat="1" ht="19.5" customHeight="1">
      <c r="A26" s="154" t="s">
        <v>239</v>
      </c>
      <c r="C26" s="209" t="s">
        <v>255</v>
      </c>
      <c r="D26" s="210"/>
      <c r="E26" s="154" t="s">
        <v>102</v>
      </c>
      <c r="G26" s="155"/>
      <c r="I26" s="265">
        <v>0.22500000000000001</v>
      </c>
      <c r="J26" s="68"/>
      <c r="K26" s="68">
        <v>0</v>
      </c>
      <c r="L26" s="68"/>
      <c r="M26" s="67">
        <v>0</v>
      </c>
      <c r="N26" s="68"/>
      <c r="O26" s="67">
        <v>0</v>
      </c>
      <c r="P26" s="68"/>
      <c r="Q26" s="68">
        <v>0</v>
      </c>
      <c r="S26" s="69">
        <f>Q26/درآمدها!$J$5</f>
        <v>0</v>
      </c>
    </row>
    <row r="27" spans="1:19" s="144" customFormat="1" ht="19.5" customHeight="1">
      <c r="A27" s="154" t="s">
        <v>238</v>
      </c>
      <c r="C27" s="209" t="s">
        <v>254</v>
      </c>
      <c r="D27" s="210"/>
      <c r="E27" s="154" t="s">
        <v>102</v>
      </c>
      <c r="G27" s="155"/>
      <c r="I27" s="265">
        <v>0.22500000000000001</v>
      </c>
      <c r="J27" s="68"/>
      <c r="K27" s="68">
        <v>6850000000</v>
      </c>
      <c r="L27" s="68"/>
      <c r="M27" s="67">
        <v>0</v>
      </c>
      <c r="N27" s="68"/>
      <c r="O27" s="67">
        <v>0</v>
      </c>
      <c r="P27" s="68"/>
      <c r="Q27" s="68">
        <v>6850000000</v>
      </c>
      <c r="S27" s="69">
        <f>Q27/درآمدها!$J$5</f>
        <v>1.8286404066032765E-3</v>
      </c>
    </row>
    <row r="28" spans="1:19" s="144" customFormat="1" ht="19.5" customHeight="1">
      <c r="A28" s="154" t="s">
        <v>251</v>
      </c>
      <c r="C28" s="209" t="s">
        <v>267</v>
      </c>
      <c r="D28" s="210"/>
      <c r="E28" s="154" t="s">
        <v>102</v>
      </c>
      <c r="G28" s="155"/>
      <c r="I28" s="265">
        <v>0.22500000000000001</v>
      </c>
      <c r="J28" s="68"/>
      <c r="K28" s="68">
        <v>2190000000</v>
      </c>
      <c r="L28" s="68"/>
      <c r="M28" s="67">
        <v>0</v>
      </c>
      <c r="N28" s="68"/>
      <c r="O28" s="67">
        <v>0</v>
      </c>
      <c r="P28" s="68"/>
      <c r="Q28" s="68">
        <v>2190000000</v>
      </c>
      <c r="S28" s="69">
        <f>Q28/درآمدها!$J$5</f>
        <v>5.8463102050528113E-4</v>
      </c>
    </row>
    <row r="29" spans="1:19" s="144" customFormat="1" ht="18">
      <c r="A29" s="154" t="s">
        <v>246</v>
      </c>
      <c r="C29" s="209" t="s">
        <v>262</v>
      </c>
      <c r="D29" s="210"/>
      <c r="E29" s="154" t="s">
        <v>102</v>
      </c>
      <c r="G29" s="155"/>
      <c r="I29" s="265">
        <v>0.22500000000000001</v>
      </c>
      <c r="J29" s="68"/>
      <c r="K29" s="68">
        <v>250000000</v>
      </c>
      <c r="L29" s="68"/>
      <c r="M29" s="67">
        <v>0</v>
      </c>
      <c r="N29" s="68"/>
      <c r="O29" s="67">
        <v>0</v>
      </c>
      <c r="P29" s="68"/>
      <c r="Q29" s="68">
        <v>250000000</v>
      </c>
      <c r="S29" s="69">
        <f>Q29/درآمدها!$J$5</f>
        <v>6.6738700970922499E-5</v>
      </c>
    </row>
    <row r="30" spans="1:19" s="144" customFormat="1" ht="18">
      <c r="A30" s="154" t="s">
        <v>237</v>
      </c>
      <c r="C30" s="209" t="s">
        <v>253</v>
      </c>
      <c r="D30" s="210"/>
      <c r="E30" s="154" t="s">
        <v>102</v>
      </c>
      <c r="G30" s="155"/>
      <c r="I30" s="265">
        <v>0.22500000000000001</v>
      </c>
      <c r="J30" s="68"/>
      <c r="K30" s="68">
        <v>74000000000</v>
      </c>
      <c r="L30" s="68"/>
      <c r="M30" s="67">
        <v>0</v>
      </c>
      <c r="N30" s="68"/>
      <c r="O30" s="67">
        <v>0</v>
      </c>
      <c r="P30" s="68"/>
      <c r="Q30" s="68">
        <v>74000000000</v>
      </c>
      <c r="S30" s="69">
        <f>Q30/درآمدها!$J$5</f>
        <v>1.9754655487393059E-2</v>
      </c>
    </row>
    <row r="31" spans="1:19" s="144" customFormat="1" ht="18">
      <c r="A31" s="154" t="s">
        <v>252</v>
      </c>
      <c r="C31" s="209" t="s">
        <v>268</v>
      </c>
      <c r="D31" s="210"/>
      <c r="E31" s="154" t="s">
        <v>102</v>
      </c>
      <c r="G31" s="155"/>
      <c r="I31" s="265">
        <v>0.22500000000000001</v>
      </c>
      <c r="J31" s="68"/>
      <c r="K31" s="68">
        <v>0</v>
      </c>
      <c r="L31" s="68"/>
      <c r="M31" s="67">
        <v>0</v>
      </c>
      <c r="N31" s="68"/>
      <c r="O31" s="67">
        <v>0</v>
      </c>
      <c r="P31" s="68"/>
      <c r="Q31" s="68">
        <v>0</v>
      </c>
      <c r="S31" s="69">
        <f>Q31/درآمدها!$J$5</f>
        <v>0</v>
      </c>
    </row>
    <row r="32" spans="1:19" s="144" customFormat="1" ht="18">
      <c r="A32" s="154" t="s">
        <v>248</v>
      </c>
      <c r="C32" s="209" t="s">
        <v>264</v>
      </c>
      <c r="D32" s="210"/>
      <c r="E32" s="154" t="s">
        <v>102</v>
      </c>
      <c r="G32" s="155"/>
      <c r="I32" s="265">
        <v>0.22500000000000001</v>
      </c>
      <c r="J32" s="68"/>
      <c r="K32" s="68">
        <v>2075000000</v>
      </c>
      <c r="L32" s="68"/>
      <c r="M32" s="67">
        <v>0</v>
      </c>
      <c r="N32" s="68"/>
      <c r="O32" s="67">
        <v>0</v>
      </c>
      <c r="P32" s="68"/>
      <c r="Q32" s="68">
        <v>2075000000</v>
      </c>
      <c r="S32" s="69">
        <f>Q32/درآمدها!$J$5</f>
        <v>5.5393121805865676E-4</v>
      </c>
    </row>
    <row r="33" spans="1:19" s="144" customFormat="1" ht="18">
      <c r="A33" s="154" t="s">
        <v>244</v>
      </c>
      <c r="C33" s="209" t="s">
        <v>260</v>
      </c>
      <c r="D33" s="210"/>
      <c r="E33" s="154" t="s">
        <v>102</v>
      </c>
      <c r="G33" s="155"/>
      <c r="I33" s="265">
        <v>0.22500000000000001</v>
      </c>
      <c r="J33" s="68"/>
      <c r="K33" s="68">
        <v>8682000000</v>
      </c>
      <c r="L33" s="68"/>
      <c r="M33" s="67">
        <v>0</v>
      </c>
      <c r="N33" s="68"/>
      <c r="O33" s="67">
        <v>0</v>
      </c>
      <c r="P33" s="68"/>
      <c r="Q33" s="68">
        <v>8682000000</v>
      </c>
      <c r="S33" s="69">
        <f>Q33/درآمدها!$J$5</f>
        <v>2.3177016073181967E-3</v>
      </c>
    </row>
    <row r="34" spans="1:19" s="144" customFormat="1" ht="18">
      <c r="A34" s="154" t="s">
        <v>272</v>
      </c>
      <c r="C34" s="209" t="s">
        <v>279</v>
      </c>
      <c r="D34" s="210"/>
      <c r="E34" s="154" t="s">
        <v>102</v>
      </c>
      <c r="G34" s="155"/>
      <c r="I34" s="265">
        <v>0.22500000000000001</v>
      </c>
      <c r="J34" s="68"/>
      <c r="K34" s="68">
        <v>12000000000</v>
      </c>
      <c r="L34" s="68"/>
      <c r="M34" s="67">
        <v>0</v>
      </c>
      <c r="N34" s="68"/>
      <c r="O34" s="67">
        <v>0</v>
      </c>
      <c r="P34" s="68"/>
      <c r="Q34" s="68">
        <v>12000000000</v>
      </c>
      <c r="S34" s="69">
        <f>Q34/درآمدها!$J$5</f>
        <v>3.2034576466042799E-3</v>
      </c>
    </row>
    <row r="35" spans="1:19" s="144" customFormat="1" ht="18">
      <c r="A35" s="154" t="s">
        <v>273</v>
      </c>
      <c r="C35" s="209" t="s">
        <v>280</v>
      </c>
      <c r="D35" s="210"/>
      <c r="E35" s="154" t="s">
        <v>102</v>
      </c>
      <c r="G35" s="155"/>
      <c r="I35" s="265">
        <v>0.22500000000000001</v>
      </c>
      <c r="J35" s="68"/>
      <c r="K35" s="68">
        <v>88500000000</v>
      </c>
      <c r="L35" s="68"/>
      <c r="M35" s="67">
        <v>0</v>
      </c>
      <c r="N35" s="68"/>
      <c r="O35" s="67">
        <v>0</v>
      </c>
      <c r="P35" s="68"/>
      <c r="Q35" s="68">
        <v>88500000000</v>
      </c>
      <c r="S35" s="69">
        <f>Q35/درآمدها!$J$5</f>
        <v>2.3625500143706565E-2</v>
      </c>
    </row>
    <row r="36" spans="1:19" s="144" customFormat="1" ht="18">
      <c r="A36" s="154" t="s">
        <v>274</v>
      </c>
      <c r="C36" s="209" t="s">
        <v>281</v>
      </c>
      <c r="D36" s="210"/>
      <c r="E36" s="154" t="s">
        <v>102</v>
      </c>
      <c r="G36" s="155"/>
      <c r="I36" s="265">
        <v>0.22500000000000001</v>
      </c>
      <c r="J36" s="68"/>
      <c r="K36" s="68">
        <v>46870000000</v>
      </c>
      <c r="L36" s="68"/>
      <c r="M36" s="67">
        <v>0</v>
      </c>
      <c r="N36" s="68"/>
      <c r="O36" s="67">
        <v>0</v>
      </c>
      <c r="P36" s="68"/>
      <c r="Q36" s="68">
        <v>46870000000</v>
      </c>
      <c r="S36" s="69">
        <f>Q36/درآمدها!$J$5</f>
        <v>1.2512171658028551E-2</v>
      </c>
    </row>
    <row r="37" spans="1:19" s="144" customFormat="1" ht="18">
      <c r="A37" s="154" t="s">
        <v>295</v>
      </c>
      <c r="C37" s="209" t="s">
        <v>300</v>
      </c>
      <c r="D37" s="210"/>
      <c r="E37" s="154" t="s">
        <v>102</v>
      </c>
      <c r="G37" s="155"/>
      <c r="I37" s="265">
        <v>0.22500000000000001</v>
      </c>
      <c r="J37" s="68"/>
      <c r="K37" s="68">
        <v>0</v>
      </c>
      <c r="L37" s="68"/>
      <c r="M37" s="67">
        <v>41930500000</v>
      </c>
      <c r="N37" s="68"/>
      <c r="O37" s="67">
        <v>0</v>
      </c>
      <c r="P37" s="68"/>
      <c r="Q37" s="68">
        <v>41930500000</v>
      </c>
      <c r="S37" s="69">
        <f>Q37/درآمدها!$J$5</f>
        <v>1.1193548404245064E-2</v>
      </c>
    </row>
    <row r="38" spans="1:19" s="144" customFormat="1" ht="18">
      <c r="A38" s="154" t="s">
        <v>275</v>
      </c>
      <c r="C38" s="209" t="s">
        <v>282</v>
      </c>
      <c r="D38" s="210"/>
      <c r="E38" s="154" t="s">
        <v>102</v>
      </c>
      <c r="G38" s="155"/>
      <c r="I38" s="265">
        <v>0.22500000000000001</v>
      </c>
      <c r="J38" s="68"/>
      <c r="K38" s="68">
        <v>13400000000</v>
      </c>
      <c r="L38" s="68"/>
      <c r="M38" s="67">
        <v>0</v>
      </c>
      <c r="N38" s="68"/>
      <c r="O38" s="67">
        <v>0</v>
      </c>
      <c r="P38" s="68"/>
      <c r="Q38" s="68">
        <v>13400000000</v>
      </c>
      <c r="S38" s="69">
        <f>Q38/درآمدها!$J$5</f>
        <v>3.5771943720414459E-3</v>
      </c>
    </row>
    <row r="39" spans="1:19" s="144" customFormat="1" ht="21.75" customHeight="1">
      <c r="A39" s="154" t="s">
        <v>296</v>
      </c>
      <c r="C39" s="209" t="s">
        <v>301</v>
      </c>
      <c r="D39" s="210"/>
      <c r="E39" s="154" t="s">
        <v>102</v>
      </c>
      <c r="G39" s="155"/>
      <c r="I39" s="265">
        <v>0.22500000000000001</v>
      </c>
      <c r="J39" s="68"/>
      <c r="K39" s="68">
        <v>0</v>
      </c>
      <c r="L39" s="68"/>
      <c r="M39" s="67">
        <v>105048500000</v>
      </c>
      <c r="N39" s="68"/>
      <c r="O39" s="67">
        <v>0</v>
      </c>
      <c r="P39" s="68"/>
      <c r="Q39" s="68">
        <v>105048500000</v>
      </c>
      <c r="S39" s="69">
        <f>Q39/درآمدها!$J$5</f>
        <v>2.804320171577581E-2</v>
      </c>
    </row>
    <row r="40" spans="1:19" s="144" customFormat="1" ht="18.75" customHeight="1">
      <c r="A40" s="154" t="s">
        <v>188</v>
      </c>
      <c r="C40" s="209" t="s">
        <v>210</v>
      </c>
      <c r="D40" s="210"/>
      <c r="E40" s="154" t="s">
        <v>90</v>
      </c>
      <c r="G40" s="155"/>
      <c r="I40" s="264">
        <v>0.05</v>
      </c>
      <c r="J40" s="68"/>
      <c r="K40" s="68">
        <v>297509655972</v>
      </c>
      <c r="L40" s="68"/>
      <c r="M40" s="67">
        <v>504530450256</v>
      </c>
      <c r="N40" s="68"/>
      <c r="O40" s="67">
        <v>758633161049</v>
      </c>
      <c r="P40" s="68"/>
      <c r="Q40" s="68">
        <v>43406945179</v>
      </c>
      <c r="S40" s="69">
        <f>Q40/درآمدها!$J$5</f>
        <v>1.1587692537450029E-2</v>
      </c>
    </row>
    <row r="41" spans="1:19" s="144" customFormat="1" ht="18.75" customHeight="1">
      <c r="A41" s="154" t="s">
        <v>162</v>
      </c>
      <c r="C41" s="209" t="s">
        <v>172</v>
      </c>
      <c r="D41" s="210"/>
      <c r="E41" s="154" t="s">
        <v>90</v>
      </c>
      <c r="G41" s="155"/>
      <c r="I41" s="264">
        <v>0.05</v>
      </c>
      <c r="J41" s="68"/>
      <c r="K41" s="68">
        <v>44000494478</v>
      </c>
      <c r="L41" s="68"/>
      <c r="M41" s="67">
        <v>1569644011565</v>
      </c>
      <c r="N41" s="68"/>
      <c r="O41" s="67">
        <v>1573413146567</v>
      </c>
      <c r="P41" s="68"/>
      <c r="Q41" s="68">
        <v>40231359476</v>
      </c>
      <c r="S41" s="69">
        <f>Q41/درآمدها!$J$5</f>
        <v>1.0739954678889814E-2</v>
      </c>
    </row>
    <row r="42" spans="1:19" s="144" customFormat="1" ht="18.75" customHeight="1">
      <c r="A42" s="154" t="s">
        <v>169</v>
      </c>
      <c r="C42" s="209" t="s">
        <v>179</v>
      </c>
      <c r="D42" s="210"/>
      <c r="E42" s="154" t="s">
        <v>102</v>
      </c>
      <c r="G42" s="155"/>
      <c r="I42" s="265">
        <v>0.22500000000000001</v>
      </c>
      <c r="J42" s="68"/>
      <c r="K42" s="68">
        <v>0</v>
      </c>
      <c r="L42" s="68"/>
      <c r="M42" s="67">
        <v>0</v>
      </c>
      <c r="N42" s="68"/>
      <c r="O42" s="67">
        <v>0</v>
      </c>
      <c r="P42" s="68"/>
      <c r="Q42" s="68">
        <v>0</v>
      </c>
      <c r="S42" s="69">
        <f>Q42/درآمدها!$J$5</f>
        <v>0</v>
      </c>
    </row>
    <row r="43" spans="1:19" s="144" customFormat="1" ht="18.75" customHeight="1">
      <c r="A43" s="154" t="s">
        <v>163</v>
      </c>
      <c r="C43" s="209" t="s">
        <v>173</v>
      </c>
      <c r="D43" s="210"/>
      <c r="E43" s="154" t="s">
        <v>90</v>
      </c>
      <c r="G43" s="155"/>
      <c r="I43" s="264">
        <v>0.05</v>
      </c>
      <c r="J43" s="68"/>
      <c r="K43" s="68">
        <v>1846526</v>
      </c>
      <c r="L43" s="68"/>
      <c r="M43" s="67">
        <v>7820</v>
      </c>
      <c r="N43" s="68"/>
      <c r="O43" s="67">
        <v>0</v>
      </c>
      <c r="P43" s="68"/>
      <c r="Q43" s="68">
        <v>1854346</v>
      </c>
      <c r="S43" s="69">
        <f>Q43/درآمدها!$J$5</f>
        <v>4.9502657276250505E-7</v>
      </c>
    </row>
    <row r="44" spans="1:19" s="144" customFormat="1" ht="18.75" customHeight="1">
      <c r="A44" s="154" t="s">
        <v>125</v>
      </c>
      <c r="C44" s="209" t="s">
        <v>130</v>
      </c>
      <c r="D44" s="210"/>
      <c r="E44" s="154" t="s">
        <v>90</v>
      </c>
      <c r="G44" s="155"/>
      <c r="I44" s="264">
        <v>0.05</v>
      </c>
      <c r="J44" s="68"/>
      <c r="K44" s="68">
        <v>862493</v>
      </c>
      <c r="L44" s="68"/>
      <c r="M44" s="67">
        <v>3402</v>
      </c>
      <c r="N44" s="68"/>
      <c r="O44" s="67">
        <v>504000</v>
      </c>
      <c r="P44" s="68"/>
      <c r="Q44" s="68">
        <v>361895</v>
      </c>
      <c r="S44" s="69">
        <f>Q44/درآمدها!$J$5</f>
        <v>9.6609608751487998E-8</v>
      </c>
    </row>
    <row r="45" spans="1:19" s="144" customFormat="1" ht="18.75" customHeight="1">
      <c r="A45" s="154" t="s">
        <v>116</v>
      </c>
      <c r="C45" s="209" t="s">
        <v>103</v>
      </c>
      <c r="D45" s="210"/>
      <c r="E45" s="154" t="s">
        <v>90</v>
      </c>
      <c r="G45" s="155"/>
      <c r="I45" s="264">
        <v>0.05</v>
      </c>
      <c r="J45" s="68"/>
      <c r="K45" s="68">
        <v>2415342</v>
      </c>
      <c r="L45" s="68"/>
      <c r="M45" s="67">
        <v>598000009556</v>
      </c>
      <c r="N45" s="68"/>
      <c r="O45" s="67">
        <v>598000000000</v>
      </c>
      <c r="P45" s="68"/>
      <c r="Q45" s="68">
        <v>2424898</v>
      </c>
      <c r="S45" s="69">
        <f>Q45/درآمدها!$J$5</f>
        <v>6.4733817002795209E-7</v>
      </c>
    </row>
    <row r="46" spans="1:19" s="144" customFormat="1" ht="18.75" customHeight="1">
      <c r="A46" s="154" t="s">
        <v>123</v>
      </c>
      <c r="C46" s="209" t="s">
        <v>109</v>
      </c>
      <c r="D46" s="210"/>
      <c r="E46" s="154" t="s">
        <v>110</v>
      </c>
      <c r="G46" s="155"/>
      <c r="I46" s="264">
        <v>0.05</v>
      </c>
      <c r="J46" s="68"/>
      <c r="K46" s="68">
        <v>262424</v>
      </c>
      <c r="L46" s="68"/>
      <c r="M46" s="67">
        <v>0</v>
      </c>
      <c r="N46" s="68"/>
      <c r="O46" s="67">
        <v>0</v>
      </c>
      <c r="P46" s="68"/>
      <c r="Q46" s="68">
        <v>262424</v>
      </c>
      <c r="S46" s="69">
        <f>Q46/درآمدها!$J$5</f>
        <v>7.0055347454373463E-8</v>
      </c>
    </row>
    <row r="47" spans="1:19" s="144" customFormat="1" ht="18.75" customHeight="1">
      <c r="A47" s="154" t="s">
        <v>118</v>
      </c>
      <c r="C47" s="209" t="s">
        <v>108</v>
      </c>
      <c r="D47" s="210"/>
      <c r="E47" s="154" t="s">
        <v>90</v>
      </c>
      <c r="G47" s="155"/>
      <c r="I47" s="264">
        <v>0.05</v>
      </c>
      <c r="J47" s="68"/>
      <c r="K47" s="68">
        <v>1775267</v>
      </c>
      <c r="L47" s="68"/>
      <c r="M47" s="67">
        <v>7035</v>
      </c>
      <c r="N47" s="68"/>
      <c r="O47" s="67">
        <v>0</v>
      </c>
      <c r="P47" s="68"/>
      <c r="Q47" s="68">
        <v>1782302</v>
      </c>
      <c r="S47" s="69">
        <f>Q47/درآمدها!$J$5</f>
        <v>4.7579408087150847E-7</v>
      </c>
    </row>
    <row r="48" spans="1:19" s="144" customFormat="1" ht="18.75" customHeight="1">
      <c r="A48" s="154" t="s">
        <v>112</v>
      </c>
      <c r="C48" s="209" t="s">
        <v>114</v>
      </c>
      <c r="D48" s="210"/>
      <c r="E48" s="154" t="s">
        <v>90</v>
      </c>
      <c r="G48" s="155"/>
      <c r="I48" s="264">
        <v>0.05</v>
      </c>
      <c r="J48" s="68"/>
      <c r="K48" s="68">
        <v>136000</v>
      </c>
      <c r="L48" s="68"/>
      <c r="M48" s="67">
        <v>0</v>
      </c>
      <c r="N48" s="68"/>
      <c r="O48" s="67">
        <v>0</v>
      </c>
      <c r="P48" s="68"/>
      <c r="Q48" s="68">
        <v>136000</v>
      </c>
      <c r="S48" s="69">
        <f>Q48/درآمدها!$J$5</f>
        <v>3.6305853328181841E-8</v>
      </c>
    </row>
    <row r="49" spans="1:20" s="144" customFormat="1" ht="18.75" customHeight="1">
      <c r="A49" s="154" t="s">
        <v>111</v>
      </c>
      <c r="C49" s="209" t="s">
        <v>113</v>
      </c>
      <c r="D49" s="210"/>
      <c r="E49" s="154" t="s">
        <v>90</v>
      </c>
      <c r="G49" s="155"/>
      <c r="I49" s="264">
        <v>0.05</v>
      </c>
      <c r="J49" s="68"/>
      <c r="K49" s="68">
        <v>283914</v>
      </c>
      <c r="L49" s="68"/>
      <c r="M49" s="67">
        <v>667787302</v>
      </c>
      <c r="N49" s="68"/>
      <c r="O49" s="67">
        <v>666413200</v>
      </c>
      <c r="P49" s="68"/>
      <c r="Q49" s="68">
        <v>1658016</v>
      </c>
      <c r="S49" s="69">
        <f>Q49/درآمدها!$J$5</f>
        <v>4.4261533611602017E-7</v>
      </c>
    </row>
    <row r="50" spans="1:20" s="144" customFormat="1" ht="18.75" customHeight="1" thickBot="1">
      <c r="A50" s="154" t="s">
        <v>119</v>
      </c>
      <c r="C50" s="209" t="s">
        <v>105</v>
      </c>
      <c r="D50" s="210"/>
      <c r="E50" s="154" t="s">
        <v>90</v>
      </c>
      <c r="G50" s="155"/>
      <c r="I50" s="264">
        <v>0.05</v>
      </c>
      <c r="J50" s="68"/>
      <c r="K50" s="68">
        <v>576415</v>
      </c>
      <c r="L50" s="68"/>
      <c r="M50" s="67">
        <v>2285</v>
      </c>
      <c r="N50" s="68"/>
      <c r="O50" s="67">
        <v>0</v>
      </c>
      <c r="P50" s="68"/>
      <c r="Q50" s="68">
        <v>578700</v>
      </c>
      <c r="S50" s="69">
        <f>Q50/درآمدها!$J$5</f>
        <v>1.544867450074914E-7</v>
      </c>
    </row>
    <row r="51" spans="1:20" s="144" customFormat="1" ht="18.75" thickBot="1">
      <c r="A51" s="151" t="s">
        <v>2</v>
      </c>
      <c r="B51" s="151"/>
      <c r="C51" s="151"/>
      <c r="D51" s="151"/>
      <c r="E51" s="151"/>
      <c r="F51" s="151"/>
      <c r="G51" s="151"/>
      <c r="H51" s="151"/>
      <c r="I51" s="266"/>
      <c r="J51" s="260"/>
      <c r="K51" s="263">
        <f>SUM(K9:K50)</f>
        <v>1362241978563</v>
      </c>
      <c r="L51" s="263"/>
      <c r="M51" s="263">
        <f>SUM(M9:M50)</f>
        <v>4875969214730</v>
      </c>
      <c r="N51" s="263"/>
      <c r="O51" s="263">
        <f>SUM(O9:O50)</f>
        <v>3882652069250</v>
      </c>
      <c r="P51" s="263"/>
      <c r="Q51" s="263">
        <f>SUM(Q9:Q50)</f>
        <v>2355559124043</v>
      </c>
      <c r="S51" s="245">
        <f>SUM(S9:S50)</f>
        <v>0.62882782399533554</v>
      </c>
      <c r="T51" s="231"/>
    </row>
    <row r="52" spans="1:20" ht="17.25" thickTop="1"/>
    <row r="53" spans="1:20">
      <c r="M53" s="244"/>
      <c r="O53" s="244"/>
    </row>
  </sheetData>
  <autoFilter ref="A8:S51" xr:uid="{00000000-0009-0000-0000-000004000000}">
    <sortState xmlns:xlrd2="http://schemas.microsoft.com/office/spreadsheetml/2017/richdata2" ref="A10:S51">
      <sortCondition ref="A8:A51"/>
    </sortState>
  </autoFilter>
  <mergeCells count="18">
    <mergeCell ref="A1:S1"/>
    <mergeCell ref="A2:S2"/>
    <mergeCell ref="A3:S3"/>
    <mergeCell ref="S7:S8"/>
    <mergeCell ref="A4:S4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honeticPr fontId="54" type="noConversion"/>
  <pageMargins left="0.25" right="0.25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E11" sqref="E11"/>
    </sheetView>
  </sheetViews>
  <sheetFormatPr defaultColWidth="9.140625" defaultRowHeight="18"/>
  <cols>
    <col min="1" max="1" width="69.5703125" style="178" bestFit="1" customWidth="1"/>
    <col min="2" max="2" width="1" style="178" customWidth="1"/>
    <col min="3" max="3" width="10.85546875" style="7" bestFit="1" customWidth="1"/>
    <col min="4" max="4" width="1.140625" style="7" customWidth="1"/>
    <col min="5" max="5" width="25.28515625" style="81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185" bestFit="1" customWidth="1"/>
    <col min="11" max="11" width="21.140625" style="185" bestFit="1" customWidth="1"/>
    <col min="12" max="16384" width="9.140625" style="7"/>
  </cols>
  <sheetData>
    <row r="1" spans="1:13" ht="21">
      <c r="A1" s="323" t="s">
        <v>89</v>
      </c>
      <c r="B1" s="323"/>
      <c r="C1" s="323"/>
      <c r="D1" s="323"/>
      <c r="E1" s="323"/>
      <c r="F1" s="323"/>
      <c r="G1" s="323"/>
      <c r="H1" s="323"/>
      <c r="I1" s="323"/>
      <c r="J1" s="158"/>
      <c r="K1" s="158"/>
    </row>
    <row r="2" spans="1:13" ht="21">
      <c r="A2" s="323" t="s">
        <v>50</v>
      </c>
      <c r="B2" s="323"/>
      <c r="C2" s="323"/>
      <c r="D2" s="323"/>
      <c r="E2" s="323"/>
      <c r="F2" s="323"/>
      <c r="G2" s="323"/>
      <c r="H2" s="323"/>
      <c r="I2" s="323"/>
      <c r="J2" s="159"/>
      <c r="K2" s="158"/>
    </row>
    <row r="3" spans="1:13" ht="21.75" thickBot="1">
      <c r="A3" s="323" t="str">
        <f>سپرده!A3</f>
        <v>برای ماه منتهی به 1403/01/31</v>
      </c>
      <c r="B3" s="323"/>
      <c r="C3" s="323"/>
      <c r="D3" s="323"/>
      <c r="E3" s="323"/>
      <c r="F3" s="323"/>
      <c r="G3" s="323"/>
      <c r="H3" s="323"/>
      <c r="I3" s="323"/>
      <c r="J3" s="212"/>
      <c r="K3" s="212"/>
    </row>
    <row r="4" spans="1:13" ht="21.75" thickBot="1">
      <c r="A4" s="160" t="s">
        <v>27</v>
      </c>
      <c r="B4" s="161"/>
      <c r="C4" s="161"/>
      <c r="D4" s="161"/>
      <c r="E4" s="161"/>
      <c r="F4" s="161"/>
      <c r="G4" s="161"/>
      <c r="H4" s="161"/>
      <c r="I4" s="161"/>
      <c r="J4" s="213">
        <v>316271258020</v>
      </c>
      <c r="K4" s="214" t="s">
        <v>88</v>
      </c>
      <c r="M4" s="162"/>
    </row>
    <row r="5" spans="1:13" ht="21.75" customHeight="1" thickBot="1">
      <c r="A5" s="160"/>
      <c r="B5" s="160"/>
      <c r="C5" s="160"/>
      <c r="D5" s="160"/>
      <c r="E5" s="321" t="s">
        <v>288</v>
      </c>
      <c r="F5" s="321"/>
      <c r="G5" s="321"/>
      <c r="H5" s="321"/>
      <c r="I5" s="321"/>
      <c r="J5" s="213">
        <v>3745952443829</v>
      </c>
      <c r="K5" s="214" t="s">
        <v>106</v>
      </c>
    </row>
    <row r="6" spans="1:13" ht="21.75" customHeight="1" thickBot="1">
      <c r="A6" s="163" t="s">
        <v>38</v>
      </c>
      <c r="B6" s="164"/>
      <c r="C6" s="165" t="s">
        <v>39</v>
      </c>
      <c r="D6" s="152"/>
      <c r="E6" s="166" t="s">
        <v>6</v>
      </c>
      <c r="F6" s="152"/>
      <c r="G6" s="165" t="s">
        <v>19</v>
      </c>
      <c r="H6" s="152"/>
      <c r="I6" s="165" t="s">
        <v>86</v>
      </c>
      <c r="J6" s="215"/>
      <c r="K6" s="216"/>
    </row>
    <row r="7" spans="1:13" ht="21" customHeight="1">
      <c r="A7" s="167" t="s">
        <v>133</v>
      </c>
      <c r="B7" s="167"/>
      <c r="C7" s="168" t="s">
        <v>52</v>
      </c>
      <c r="D7" s="161"/>
      <c r="E7" s="169">
        <v>0</v>
      </c>
      <c r="F7" s="161"/>
      <c r="G7" s="170">
        <f>E7/$E$11</f>
        <v>0</v>
      </c>
      <c r="H7" s="171"/>
      <c r="I7" s="172">
        <f>E7/$J$5</f>
        <v>0</v>
      </c>
      <c r="J7" s="217"/>
      <c r="K7" s="217"/>
      <c r="L7" s="173"/>
    </row>
    <row r="8" spans="1:13" ht="18.75" customHeight="1">
      <c r="A8" s="167" t="s">
        <v>47</v>
      </c>
      <c r="B8" s="167"/>
      <c r="C8" s="168" t="s">
        <v>53</v>
      </c>
      <c r="D8" s="161"/>
      <c r="E8" s="169">
        <f>'درآمد سرمایه گذاری در اوراق بها'!Q18</f>
        <v>172259017676</v>
      </c>
      <c r="F8" s="161"/>
      <c r="G8" s="170">
        <f t="shared" ref="G8:G10" si="0">E8/$E$11</f>
        <v>0.55637016002425477</v>
      </c>
      <c r="H8" s="171"/>
      <c r="I8" s="172">
        <f t="shared" ref="I8:I10" si="1">E8/$J$5</f>
        <v>4.5985372280893673E-2</v>
      </c>
      <c r="J8" s="173"/>
      <c r="K8" s="173"/>
      <c r="L8" s="173"/>
    </row>
    <row r="9" spans="1:13" ht="18.75" customHeight="1">
      <c r="A9" s="167" t="s">
        <v>48</v>
      </c>
      <c r="B9" s="167"/>
      <c r="C9" s="168" t="s">
        <v>54</v>
      </c>
      <c r="D9" s="161"/>
      <c r="E9" s="169">
        <f>'درآمد سپرده بانکی'!I85</f>
        <v>137343096556.87863</v>
      </c>
      <c r="F9" s="161"/>
      <c r="G9" s="170">
        <f t="shared" si="0"/>
        <v>0.44359709953357973</v>
      </c>
      <c r="H9" s="171"/>
      <c r="I9" s="172">
        <f t="shared" si="1"/>
        <v>3.6664399406120235E-2</v>
      </c>
      <c r="J9" s="173"/>
      <c r="K9" s="142"/>
      <c r="L9" s="173"/>
    </row>
    <row r="10" spans="1:13" ht="19.5" customHeight="1" thickBot="1">
      <c r="A10" s="167" t="s">
        <v>32</v>
      </c>
      <c r="B10" s="167"/>
      <c r="C10" s="168" t="s">
        <v>55</v>
      </c>
      <c r="D10" s="161"/>
      <c r="E10" s="241">
        <f>'سایر درآمدها'!E9</f>
        <v>10136842</v>
      </c>
      <c r="F10" s="161"/>
      <c r="G10" s="170">
        <f t="shared" si="0"/>
        <v>3.2740442165347131E-5</v>
      </c>
      <c r="H10" s="171"/>
      <c r="I10" s="172">
        <f t="shared" si="1"/>
        <v>2.706078668109952E-6</v>
      </c>
      <c r="J10" s="173"/>
      <c r="K10" s="173"/>
      <c r="L10" s="173"/>
    </row>
    <row r="11" spans="1:13" ht="19.5" customHeight="1" thickBot="1">
      <c r="A11" s="167" t="s">
        <v>2</v>
      </c>
      <c r="B11" s="174"/>
      <c r="C11" s="144"/>
      <c r="D11" s="144"/>
      <c r="E11" s="175">
        <f>SUM(E7:E10)</f>
        <v>309612251074.87866</v>
      </c>
      <c r="F11" s="144"/>
      <c r="G11" s="176">
        <f>SUM(G7:G10)</f>
        <v>0.99999999999999989</v>
      </c>
      <c r="H11" s="171"/>
      <c r="I11" s="177">
        <f>SUM(I7:I10)</f>
        <v>8.2652477765682006E-2</v>
      </c>
      <c r="J11" s="173"/>
      <c r="K11" s="173"/>
      <c r="L11" s="173"/>
    </row>
    <row r="12" spans="1:13" ht="18.75" customHeight="1" thickTop="1">
      <c r="J12" s="173"/>
      <c r="K12" s="179"/>
      <c r="L12" s="173"/>
    </row>
    <row r="13" spans="1:13" ht="18" customHeight="1">
      <c r="E13" s="233"/>
      <c r="F13" s="180"/>
      <c r="G13" s="180"/>
      <c r="I13" s="181"/>
      <c r="J13" s="173"/>
      <c r="K13" s="173"/>
      <c r="L13" s="173"/>
    </row>
    <row r="14" spans="1:13" ht="18" customHeight="1">
      <c r="E14" s="233"/>
      <c r="F14" s="180"/>
      <c r="G14" s="180"/>
      <c r="J14" s="173"/>
      <c r="K14" s="173"/>
      <c r="L14" s="173"/>
    </row>
    <row r="15" spans="1:13" ht="18" customHeight="1">
      <c r="E15" s="182"/>
      <c r="F15" s="180"/>
      <c r="G15" s="180"/>
      <c r="H15" s="180"/>
      <c r="J15" s="7"/>
      <c r="K15" s="173"/>
      <c r="L15" s="173"/>
      <c r="M15" s="173"/>
    </row>
    <row r="16" spans="1:13" ht="18" customHeight="1">
      <c r="E16" s="183"/>
      <c r="F16" s="180"/>
      <c r="G16" s="180"/>
      <c r="J16" s="184"/>
      <c r="K16" s="184"/>
    </row>
    <row r="17" spans="3:11" ht="17.45" customHeight="1">
      <c r="E17" s="180"/>
      <c r="F17" s="180"/>
      <c r="G17" s="180"/>
      <c r="J17" s="184"/>
      <c r="K17" s="184"/>
    </row>
    <row r="18" spans="3:11" ht="17.45" customHeight="1">
      <c r="E18" s="180"/>
      <c r="F18" s="180"/>
      <c r="G18" s="180"/>
    </row>
    <row r="19" spans="3:11" ht="17.45" customHeight="1">
      <c r="E19" s="180"/>
    </row>
    <row r="20" spans="3:11">
      <c r="C20" s="179"/>
      <c r="E20" s="179"/>
      <c r="G20" s="179"/>
      <c r="J20" s="179"/>
      <c r="K20" s="186"/>
    </row>
    <row r="21" spans="3:11">
      <c r="C21" s="182"/>
      <c r="G21" s="179"/>
      <c r="J21" s="179"/>
      <c r="K21" s="186"/>
    </row>
    <row r="22" spans="3:11">
      <c r="G22" s="179"/>
    </row>
    <row r="23" spans="3:11">
      <c r="G23" s="182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3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S20"/>
  <sheetViews>
    <sheetView rightToLeft="1" view="pageBreakPreview" zoomScale="80" zoomScaleNormal="100" zoomScaleSheetLayoutView="80" workbookViewId="0">
      <selection activeCell="I6" sqref="I6:M6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26" t="s">
        <v>89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19" ht="22.5">
      <c r="A2" s="326" t="s">
        <v>56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</row>
    <row r="3" spans="1:19" ht="22.5">
      <c r="A3" s="326" t="s">
        <v>287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1:19" ht="22.5">
      <c r="A4" s="327" t="s">
        <v>75</v>
      </c>
      <c r="B4" s="327"/>
      <c r="C4" s="327"/>
      <c r="D4" s="327"/>
      <c r="E4" s="327"/>
      <c r="F4" s="327"/>
      <c r="G4" s="327"/>
      <c r="H4" s="327"/>
      <c r="I4" s="328"/>
      <c r="J4" s="328"/>
      <c r="K4" s="328"/>
      <c r="L4" s="328"/>
      <c r="M4" s="328"/>
      <c r="N4" s="328"/>
      <c r="O4" s="328"/>
      <c r="P4" s="328"/>
      <c r="Q4" s="327"/>
      <c r="R4" s="327"/>
      <c r="S4" s="327"/>
    </row>
    <row r="6" spans="1:19" ht="18.75">
      <c r="C6" s="324" t="s">
        <v>76</v>
      </c>
      <c r="D6" s="325"/>
      <c r="E6" s="325"/>
      <c r="F6" s="325"/>
      <c r="G6" s="325"/>
      <c r="I6" s="324" t="s">
        <v>77</v>
      </c>
      <c r="J6" s="325"/>
      <c r="K6" s="325"/>
      <c r="L6" s="325"/>
      <c r="M6" s="325"/>
      <c r="O6" s="324" t="s">
        <v>288</v>
      </c>
      <c r="P6" s="325"/>
      <c r="Q6" s="325"/>
      <c r="R6" s="325"/>
      <c r="S6" s="325"/>
    </row>
    <row r="7" spans="1:19" ht="56.25">
      <c r="A7" s="17" t="s">
        <v>78</v>
      </c>
      <c r="C7" s="14" t="s">
        <v>79</v>
      </c>
      <c r="E7" s="14" t="s">
        <v>80</v>
      </c>
      <c r="G7" s="14" t="s">
        <v>81</v>
      </c>
      <c r="I7" s="14" t="s">
        <v>82</v>
      </c>
      <c r="K7" s="14" t="s">
        <v>83</v>
      </c>
      <c r="M7" s="14" t="s">
        <v>84</v>
      </c>
      <c r="O7" s="14" t="s">
        <v>82</v>
      </c>
      <c r="Q7" s="14" t="s">
        <v>83</v>
      </c>
      <c r="S7" s="14" t="s">
        <v>84</v>
      </c>
    </row>
    <row r="8" spans="1:19" ht="21.75">
      <c r="A8" s="62" t="s">
        <v>92</v>
      </c>
      <c r="B8" s="13"/>
      <c r="C8" s="21" t="s">
        <v>91</v>
      </c>
      <c r="D8" s="8"/>
      <c r="E8" s="21" t="s">
        <v>91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85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2D050"/>
  </sheetPr>
  <dimension ref="A1:Q90"/>
  <sheetViews>
    <sheetView rightToLeft="1" tabSelected="1" view="pageBreakPreview" topLeftCell="A13" zoomScale="115" zoomScaleNormal="100" zoomScaleSheetLayoutView="115" workbookViewId="0">
      <selection activeCell="E7" sqref="E7"/>
    </sheetView>
  </sheetViews>
  <sheetFormatPr defaultColWidth="9.140625" defaultRowHeight="30.75" customHeight="1"/>
  <cols>
    <col min="1" max="1" width="37.5703125" style="144" customWidth="1"/>
    <col min="2" max="2" width="0.85546875" style="144" customWidth="1"/>
    <col min="3" max="3" width="14" style="144" customWidth="1"/>
    <col min="4" max="4" width="0.140625" style="144" customWidth="1"/>
    <col min="5" max="5" width="12.42578125" style="144" customWidth="1"/>
    <col min="6" max="6" width="1" style="144" customWidth="1"/>
    <col min="7" max="7" width="19.140625" style="77" customWidth="1"/>
    <col min="8" max="8" width="0.85546875" style="77" customWidth="1"/>
    <col min="9" max="9" width="14" style="77" customWidth="1"/>
    <col min="10" max="10" width="0.7109375" style="77" customWidth="1"/>
    <col min="11" max="11" width="18.140625" style="77" customWidth="1"/>
    <col min="12" max="12" width="0.7109375" style="77" customWidth="1"/>
    <col min="13" max="13" width="20" style="77" customWidth="1"/>
    <col min="14" max="14" width="0.5703125" style="77" customWidth="1"/>
    <col min="15" max="15" width="18.140625" style="77" customWidth="1"/>
    <col min="16" max="16" width="0.5703125" style="77" customWidth="1"/>
    <col min="17" max="17" width="18.85546875" style="77" customWidth="1"/>
    <col min="18" max="16384" width="9.140625" style="144"/>
  </cols>
  <sheetData>
    <row r="1" spans="1:17" ht="30.75" customHeight="1">
      <c r="A1" s="296" t="s">
        <v>89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17" ht="30.75" customHeight="1">
      <c r="A2" s="296" t="s">
        <v>56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ht="30.75" customHeight="1">
      <c r="A3" s="296" t="str">
        <f>' سهام'!A3:W3</f>
        <v>برای ماه منتهی به 1403/01/31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17" ht="30.75" customHeight="1">
      <c r="A4" s="303" t="s">
        <v>64</v>
      </c>
      <c r="B4" s="303"/>
      <c r="C4" s="303"/>
      <c r="D4" s="303"/>
      <c r="E4" s="303"/>
      <c r="F4" s="303"/>
      <c r="G4" s="303"/>
      <c r="H4" s="73"/>
      <c r="I4" s="74"/>
      <c r="J4" s="74"/>
      <c r="K4" s="74"/>
      <c r="L4" s="74"/>
      <c r="M4" s="74"/>
      <c r="N4" s="74"/>
      <c r="O4" s="71"/>
      <c r="P4" s="74"/>
      <c r="Q4" s="74"/>
    </row>
    <row r="5" spans="1:17" ht="30.75" customHeight="1" thickBot="1">
      <c r="A5" s="232"/>
      <c r="B5" s="329"/>
      <c r="C5" s="329"/>
      <c r="D5" s="329"/>
      <c r="E5" s="329"/>
      <c r="F5" s="188"/>
      <c r="G5" s="330" t="s">
        <v>289</v>
      </c>
      <c r="H5" s="330"/>
      <c r="I5" s="330"/>
      <c r="J5" s="330"/>
      <c r="K5" s="330"/>
      <c r="L5" s="74"/>
      <c r="M5" s="330" t="s">
        <v>290</v>
      </c>
      <c r="N5" s="330"/>
      <c r="O5" s="330"/>
      <c r="P5" s="330"/>
      <c r="Q5" s="330"/>
    </row>
    <row r="6" spans="1:17" ht="42" customHeight="1" thickBot="1">
      <c r="A6" s="19" t="s">
        <v>38</v>
      </c>
      <c r="B6" s="189"/>
      <c r="C6" s="190" t="s">
        <v>23</v>
      </c>
      <c r="D6" s="189"/>
      <c r="E6" s="190" t="s">
        <v>35</v>
      </c>
      <c r="F6" s="189"/>
      <c r="G6" s="75" t="s">
        <v>57</v>
      </c>
      <c r="H6" s="76"/>
      <c r="I6" s="75" t="s">
        <v>40</v>
      </c>
      <c r="J6" s="76"/>
      <c r="K6" s="75" t="s">
        <v>41</v>
      </c>
      <c r="L6" s="74"/>
      <c r="M6" s="75" t="s">
        <v>57</v>
      </c>
      <c r="N6" s="76"/>
      <c r="O6" s="75" t="s">
        <v>40</v>
      </c>
      <c r="P6" s="76"/>
      <c r="Q6" s="75" t="s">
        <v>41</v>
      </c>
    </row>
    <row r="7" spans="1:17" ht="30" customHeight="1" thickBot="1">
      <c r="A7" s="236" t="s">
        <v>117</v>
      </c>
      <c r="B7" s="193"/>
      <c r="C7" s="192" t="s">
        <v>288</v>
      </c>
      <c r="D7" s="110"/>
      <c r="E7" s="366">
        <v>0.05</v>
      </c>
      <c r="F7" s="110"/>
      <c r="G7" s="225">
        <v>7200</v>
      </c>
      <c r="H7" s="71"/>
      <c r="I7" s="71">
        <v>0</v>
      </c>
      <c r="J7" s="71"/>
      <c r="K7" s="71">
        <f>G7+I7</f>
        <v>7200</v>
      </c>
      <c r="L7" s="71"/>
      <c r="M7" s="71">
        <v>10391965</v>
      </c>
      <c r="N7" s="71"/>
      <c r="O7" s="71">
        <v>0</v>
      </c>
      <c r="P7" s="71"/>
      <c r="Q7" s="71">
        <f>M7+O7</f>
        <v>10391965</v>
      </c>
    </row>
    <row r="8" spans="1:17" ht="30" customHeight="1">
      <c r="A8" s="236" t="s">
        <v>164</v>
      </c>
      <c r="B8" s="193"/>
      <c r="C8" s="192" t="s">
        <v>302</v>
      </c>
      <c r="D8" s="110"/>
      <c r="E8" s="94">
        <v>0.22500000000000001</v>
      </c>
      <c r="F8" s="110"/>
      <c r="G8" s="80">
        <v>0</v>
      </c>
      <c r="H8" s="71"/>
      <c r="I8" s="71">
        <v>0</v>
      </c>
      <c r="J8" s="71"/>
      <c r="K8" s="71">
        <f t="shared" ref="K8:K71" si="0">G8+I8</f>
        <v>0</v>
      </c>
      <c r="L8" s="71"/>
      <c r="M8" s="71">
        <v>1418042474.1509435</v>
      </c>
      <c r="N8" s="71"/>
      <c r="O8" s="71">
        <v>0</v>
      </c>
      <c r="P8" s="71"/>
      <c r="Q8" s="71">
        <f t="shared" ref="Q8:Q71" si="1">M8+O8</f>
        <v>1418042474.1509435</v>
      </c>
    </row>
    <row r="9" spans="1:17" ht="30" customHeight="1">
      <c r="A9" s="236" t="s">
        <v>292</v>
      </c>
      <c r="B9" s="193"/>
      <c r="C9" s="192" t="s">
        <v>91</v>
      </c>
      <c r="D9" s="110"/>
      <c r="E9" s="94">
        <v>0.22500000000000001</v>
      </c>
      <c r="F9" s="110"/>
      <c r="G9" s="80">
        <v>1417808222.8448277</v>
      </c>
      <c r="H9" s="71"/>
      <c r="I9" s="71">
        <v>-10107121</v>
      </c>
      <c r="J9" s="71"/>
      <c r="K9" s="71">
        <f t="shared" si="0"/>
        <v>1407701101.8448277</v>
      </c>
      <c r="L9" s="71"/>
      <c r="M9" s="71">
        <v>1417808222.8448277</v>
      </c>
      <c r="N9" s="71"/>
      <c r="O9" s="71">
        <v>-10107121</v>
      </c>
      <c r="P9" s="71"/>
      <c r="Q9" s="71">
        <f t="shared" si="1"/>
        <v>1407701101.8448277</v>
      </c>
    </row>
    <row r="10" spans="1:17" ht="30" customHeight="1">
      <c r="A10" s="236" t="s">
        <v>190</v>
      </c>
      <c r="B10" s="193"/>
      <c r="C10" s="192" t="s">
        <v>303</v>
      </c>
      <c r="D10" s="110"/>
      <c r="E10" s="94">
        <v>0.22500000000000001</v>
      </c>
      <c r="F10" s="110"/>
      <c r="G10" s="80">
        <v>0</v>
      </c>
      <c r="H10" s="71"/>
      <c r="I10" s="71">
        <v>0</v>
      </c>
      <c r="J10" s="71"/>
      <c r="K10" s="71">
        <f t="shared" si="0"/>
        <v>0</v>
      </c>
      <c r="L10" s="71"/>
      <c r="M10" s="71">
        <v>1624808219.1666665</v>
      </c>
      <c r="N10" s="71"/>
      <c r="O10" s="71">
        <v>0</v>
      </c>
      <c r="P10" s="71"/>
      <c r="Q10" s="71">
        <f t="shared" si="1"/>
        <v>1624808219.1666665</v>
      </c>
    </row>
    <row r="11" spans="1:17" ht="30" customHeight="1">
      <c r="A11" s="236" t="s">
        <v>127</v>
      </c>
      <c r="B11" s="193"/>
      <c r="C11" s="192" t="s">
        <v>302</v>
      </c>
      <c r="D11" s="110"/>
      <c r="E11" s="94">
        <v>0.22500000000000001</v>
      </c>
      <c r="F11" s="110"/>
      <c r="G11" s="80">
        <v>0</v>
      </c>
      <c r="H11" s="71"/>
      <c r="I11" s="71">
        <v>0</v>
      </c>
      <c r="J11" s="71"/>
      <c r="K11" s="71">
        <f t="shared" si="0"/>
        <v>0</v>
      </c>
      <c r="L11" s="71"/>
      <c r="M11" s="71">
        <v>11628496.698113207</v>
      </c>
      <c r="N11" s="71"/>
      <c r="O11" s="71">
        <v>0</v>
      </c>
      <c r="P11" s="71"/>
      <c r="Q11" s="71">
        <f t="shared" si="1"/>
        <v>11628496.698113207</v>
      </c>
    </row>
    <row r="12" spans="1:17" ht="30" customHeight="1">
      <c r="A12" s="204" t="s">
        <v>137</v>
      </c>
      <c r="B12" s="193"/>
      <c r="C12" s="192" t="s">
        <v>302</v>
      </c>
      <c r="D12" s="110"/>
      <c r="E12" s="94">
        <v>0.22500000000000001</v>
      </c>
      <c r="F12" s="110"/>
      <c r="G12" s="80">
        <v>0</v>
      </c>
      <c r="H12" s="71"/>
      <c r="I12" s="71">
        <v>0</v>
      </c>
      <c r="J12" s="71"/>
      <c r="K12" s="71">
        <f t="shared" si="0"/>
        <v>0</v>
      </c>
      <c r="L12" s="71"/>
      <c r="M12" s="71">
        <v>57680139.056603767</v>
      </c>
      <c r="N12" s="71"/>
      <c r="O12" s="71">
        <v>0</v>
      </c>
      <c r="P12" s="71"/>
      <c r="Q12" s="71">
        <f t="shared" si="1"/>
        <v>57680139.056603767</v>
      </c>
    </row>
    <row r="13" spans="1:17" ht="30" customHeight="1">
      <c r="A13" s="236" t="s">
        <v>202</v>
      </c>
      <c r="B13" s="193"/>
      <c r="C13" s="192" t="s">
        <v>305</v>
      </c>
      <c r="D13" s="110"/>
      <c r="E13" s="94">
        <v>0.22500000000000001</v>
      </c>
      <c r="F13" s="110"/>
      <c r="G13" s="80">
        <v>0</v>
      </c>
      <c r="H13" s="71"/>
      <c r="I13" s="71">
        <v>0</v>
      </c>
      <c r="J13" s="71"/>
      <c r="K13" s="71">
        <f t="shared" si="0"/>
        <v>0</v>
      </c>
      <c r="L13" s="71"/>
      <c r="M13" s="71">
        <v>7239254794.166666</v>
      </c>
      <c r="N13" s="71"/>
      <c r="O13" s="71">
        <v>0</v>
      </c>
      <c r="P13" s="71"/>
      <c r="Q13" s="71">
        <f t="shared" si="1"/>
        <v>7239254794.166666</v>
      </c>
    </row>
    <row r="14" spans="1:17" ht="30" customHeight="1">
      <c r="A14" s="236" t="s">
        <v>147</v>
      </c>
      <c r="B14" s="193"/>
      <c r="C14" s="192" t="s">
        <v>302</v>
      </c>
      <c r="D14" s="110"/>
      <c r="E14" s="94">
        <v>0.22500000000000001</v>
      </c>
      <c r="F14" s="110"/>
      <c r="G14" s="80">
        <v>0</v>
      </c>
      <c r="H14" s="71"/>
      <c r="I14" s="71">
        <v>0</v>
      </c>
      <c r="J14" s="71"/>
      <c r="K14" s="71">
        <f t="shared" si="0"/>
        <v>0</v>
      </c>
      <c r="L14" s="71"/>
      <c r="M14" s="71">
        <v>101050273.86792453</v>
      </c>
      <c r="N14" s="71"/>
      <c r="O14" s="71">
        <v>0</v>
      </c>
      <c r="P14" s="71"/>
      <c r="Q14" s="71">
        <f t="shared" si="1"/>
        <v>101050273.86792453</v>
      </c>
    </row>
    <row r="15" spans="1:17" ht="30" customHeight="1">
      <c r="A15" s="236" t="s">
        <v>194</v>
      </c>
      <c r="B15" s="193"/>
      <c r="C15" s="192" t="s">
        <v>306</v>
      </c>
      <c r="D15" s="110"/>
      <c r="E15" s="94">
        <v>0.22500000000000001</v>
      </c>
      <c r="F15" s="110"/>
      <c r="G15" s="80">
        <v>0</v>
      </c>
      <c r="H15" s="71"/>
      <c r="I15" s="71">
        <v>0</v>
      </c>
      <c r="J15" s="71"/>
      <c r="K15" s="71">
        <f t="shared" si="0"/>
        <v>0</v>
      </c>
      <c r="L15" s="71"/>
      <c r="M15" s="71">
        <v>1828856712.4999998</v>
      </c>
      <c r="N15" s="71"/>
      <c r="O15" s="71">
        <v>0</v>
      </c>
      <c r="P15" s="71"/>
      <c r="Q15" s="71">
        <f t="shared" si="1"/>
        <v>1828856712.4999998</v>
      </c>
    </row>
    <row r="16" spans="1:17" ht="30" customHeight="1">
      <c r="A16" s="236" t="s">
        <v>293</v>
      </c>
      <c r="B16" s="193"/>
      <c r="C16" s="192" t="s">
        <v>91</v>
      </c>
      <c r="D16" s="110"/>
      <c r="E16" s="94">
        <v>0.22500000000000001</v>
      </c>
      <c r="F16" s="110"/>
      <c r="G16" s="80">
        <v>3051369866.6379313</v>
      </c>
      <c r="H16" s="71"/>
      <c r="I16" s="71">
        <v>-58487357</v>
      </c>
      <c r="J16" s="71"/>
      <c r="K16" s="71">
        <f t="shared" si="0"/>
        <v>2992882509.6379313</v>
      </c>
      <c r="L16" s="71"/>
      <c r="M16" s="71">
        <v>3051369866.6379313</v>
      </c>
      <c r="N16" s="71"/>
      <c r="O16" s="71">
        <v>-58487357</v>
      </c>
      <c r="P16" s="71"/>
      <c r="Q16" s="71">
        <f t="shared" si="1"/>
        <v>2992882509.6379313</v>
      </c>
    </row>
    <row r="17" spans="1:17" ht="30" customHeight="1">
      <c r="A17" s="236" t="s">
        <v>115</v>
      </c>
      <c r="B17" s="193"/>
      <c r="C17" s="192" t="s">
        <v>304</v>
      </c>
      <c r="D17" s="110"/>
      <c r="E17" s="89">
        <v>0.05</v>
      </c>
      <c r="F17" s="110"/>
      <c r="G17" s="80">
        <f>4678+1291095893</f>
        <v>1291100571</v>
      </c>
      <c r="H17" s="71"/>
      <c r="I17" s="71">
        <v>0</v>
      </c>
      <c r="J17" s="71"/>
      <c r="K17" s="71">
        <f t="shared" si="0"/>
        <v>1291100571</v>
      </c>
      <c r="L17" s="71"/>
      <c r="M17" s="71">
        <f>24980+3712062306</f>
        <v>3712087286</v>
      </c>
      <c r="N17" s="71"/>
      <c r="O17" s="71">
        <v>0</v>
      </c>
      <c r="P17" s="71"/>
      <c r="Q17" s="71">
        <f t="shared" si="1"/>
        <v>3712087286</v>
      </c>
    </row>
    <row r="18" spans="1:17" ht="30" customHeight="1">
      <c r="A18" s="236" t="s">
        <v>276</v>
      </c>
      <c r="B18" s="193"/>
      <c r="C18" s="192" t="s">
        <v>307</v>
      </c>
      <c r="D18" s="110"/>
      <c r="E18" s="94">
        <v>0.22500000000000001</v>
      </c>
      <c r="F18" s="110"/>
      <c r="G18" s="80">
        <v>13431439728.157896</v>
      </c>
      <c r="H18" s="71"/>
      <c r="I18" s="71">
        <v>-14059401</v>
      </c>
      <c r="J18" s="71"/>
      <c r="K18" s="71">
        <f t="shared" si="0"/>
        <v>13417380327.157896</v>
      </c>
      <c r="L18" s="71"/>
      <c r="M18" s="71">
        <v>17920343836.578949</v>
      </c>
      <c r="N18" s="71"/>
      <c r="O18" s="71">
        <v>-92866574</v>
      </c>
      <c r="P18" s="71"/>
      <c r="Q18" s="71">
        <f t="shared" si="1"/>
        <v>17827477262.578949</v>
      </c>
    </row>
    <row r="19" spans="1:17" s="110" customFormat="1" ht="30.75" customHeight="1">
      <c r="A19" s="236" t="s">
        <v>150</v>
      </c>
      <c r="B19" s="193"/>
      <c r="C19" s="192" t="s">
        <v>318</v>
      </c>
      <c r="E19" s="94">
        <v>0.22500000000000001</v>
      </c>
      <c r="G19" s="71">
        <v>0</v>
      </c>
      <c r="H19" s="71"/>
      <c r="I19" s="71">
        <v>0</v>
      </c>
      <c r="J19" s="71"/>
      <c r="K19" s="71">
        <f t="shared" si="0"/>
        <v>0</v>
      </c>
      <c r="L19" s="71"/>
      <c r="M19" s="71">
        <v>80136988.301886797</v>
      </c>
      <c r="N19" s="71"/>
      <c r="O19" s="71">
        <v>0</v>
      </c>
      <c r="P19" s="71"/>
      <c r="Q19" s="71">
        <f t="shared" si="1"/>
        <v>80136988.301886797</v>
      </c>
    </row>
    <row r="20" spans="1:17" s="110" customFormat="1" ht="30.75" customHeight="1">
      <c r="A20" s="236" t="s">
        <v>151</v>
      </c>
      <c r="B20" s="193"/>
      <c r="C20" s="192" t="s">
        <v>318</v>
      </c>
      <c r="E20" s="94">
        <v>0.22500000000000001</v>
      </c>
      <c r="G20" s="80">
        <v>0</v>
      </c>
      <c r="H20" s="71"/>
      <c r="I20" s="71">
        <v>0</v>
      </c>
      <c r="J20" s="71"/>
      <c r="K20" s="71">
        <f t="shared" si="0"/>
        <v>0</v>
      </c>
      <c r="L20" s="71"/>
      <c r="M20" s="71">
        <v>51828902.830188677</v>
      </c>
      <c r="N20" s="71"/>
      <c r="O20" s="71">
        <v>0</v>
      </c>
      <c r="P20" s="71"/>
      <c r="Q20" s="71">
        <f t="shared" si="1"/>
        <v>51828902.830188677</v>
      </c>
    </row>
    <row r="21" spans="1:17" s="110" customFormat="1" ht="30.75" customHeight="1">
      <c r="A21" s="236" t="s">
        <v>167</v>
      </c>
      <c r="B21" s="193"/>
      <c r="C21" s="192" t="s">
        <v>318</v>
      </c>
      <c r="E21" s="94">
        <v>0.22500000000000001</v>
      </c>
      <c r="G21" s="71">
        <v>0</v>
      </c>
      <c r="H21" s="71"/>
      <c r="I21" s="71">
        <v>0</v>
      </c>
      <c r="J21" s="71"/>
      <c r="K21" s="71">
        <f t="shared" si="0"/>
        <v>0</v>
      </c>
      <c r="L21" s="71"/>
      <c r="M21" s="71">
        <v>40068495</v>
      </c>
      <c r="N21" s="71"/>
      <c r="O21" s="71">
        <v>0</v>
      </c>
      <c r="P21" s="71"/>
      <c r="Q21" s="71">
        <f t="shared" si="1"/>
        <v>40068495</v>
      </c>
    </row>
    <row r="22" spans="1:17" s="110" customFormat="1" ht="30.75" customHeight="1">
      <c r="A22" s="236" t="s">
        <v>149</v>
      </c>
      <c r="B22" s="193"/>
      <c r="C22" s="192" t="s">
        <v>318</v>
      </c>
      <c r="E22" s="94">
        <v>0.22500000000000001</v>
      </c>
      <c r="G22" s="80">
        <v>0</v>
      </c>
      <c r="H22" s="71"/>
      <c r="I22" s="71">
        <v>0</v>
      </c>
      <c r="J22" s="71"/>
      <c r="K22" s="71">
        <f t="shared" si="0"/>
        <v>0</v>
      </c>
      <c r="L22" s="71"/>
      <c r="M22" s="71">
        <v>140235401.03773585</v>
      </c>
      <c r="N22" s="71"/>
      <c r="O22" s="71">
        <v>0</v>
      </c>
      <c r="P22" s="71"/>
      <c r="Q22" s="71">
        <f t="shared" si="1"/>
        <v>140235401.03773585</v>
      </c>
    </row>
    <row r="23" spans="1:17" s="110" customFormat="1" ht="30.75" customHeight="1">
      <c r="A23" s="236" t="s">
        <v>148</v>
      </c>
      <c r="B23" s="193"/>
      <c r="C23" s="192" t="s">
        <v>318</v>
      </c>
      <c r="E23" s="94">
        <v>0.22500000000000001</v>
      </c>
      <c r="G23" s="80">
        <v>0</v>
      </c>
      <c r="H23" s="71"/>
      <c r="I23" s="71">
        <v>0</v>
      </c>
      <c r="J23" s="71"/>
      <c r="K23" s="71">
        <f t="shared" si="0"/>
        <v>0</v>
      </c>
      <c r="L23" s="71"/>
      <c r="M23" s="71">
        <v>883561645</v>
      </c>
      <c r="N23" s="71"/>
      <c r="O23" s="71">
        <v>0</v>
      </c>
      <c r="P23" s="71"/>
      <c r="Q23" s="71">
        <f t="shared" si="1"/>
        <v>883561645</v>
      </c>
    </row>
    <row r="24" spans="1:17" s="110" customFormat="1" ht="30.75" customHeight="1">
      <c r="A24" s="236" t="s">
        <v>165</v>
      </c>
      <c r="B24" s="193"/>
      <c r="C24" s="192" t="s">
        <v>317</v>
      </c>
      <c r="E24" s="94">
        <v>0.22500000000000001</v>
      </c>
      <c r="G24" s="80">
        <v>0</v>
      </c>
      <c r="H24" s="71"/>
      <c r="I24" s="71">
        <v>0</v>
      </c>
      <c r="J24" s="71"/>
      <c r="K24" s="71">
        <f t="shared" si="0"/>
        <v>0</v>
      </c>
      <c r="L24" s="71"/>
      <c r="M24" s="71">
        <v>1208835618.3333333</v>
      </c>
      <c r="N24" s="71"/>
      <c r="O24" s="71">
        <v>0</v>
      </c>
      <c r="P24" s="71"/>
      <c r="Q24" s="71">
        <f t="shared" si="1"/>
        <v>1208835618.3333333</v>
      </c>
    </row>
    <row r="25" spans="1:17" s="110" customFormat="1" ht="30.75" customHeight="1">
      <c r="A25" s="236" t="s">
        <v>170</v>
      </c>
      <c r="B25" s="193"/>
      <c r="C25" s="192" t="s">
        <v>319</v>
      </c>
      <c r="E25" s="94">
        <v>0.22500000000000001</v>
      </c>
      <c r="G25" s="80">
        <v>0</v>
      </c>
      <c r="H25" s="71"/>
      <c r="I25" s="71">
        <v>0</v>
      </c>
      <c r="J25" s="71"/>
      <c r="K25" s="71">
        <f t="shared" si="0"/>
        <v>0</v>
      </c>
      <c r="L25" s="71"/>
      <c r="M25" s="191">
        <v>2904567523.3333335</v>
      </c>
      <c r="N25" s="71"/>
      <c r="O25" s="71">
        <v>0</v>
      </c>
      <c r="P25" s="71"/>
      <c r="Q25" s="71">
        <f t="shared" si="1"/>
        <v>2904567523.3333335</v>
      </c>
    </row>
    <row r="26" spans="1:17" s="110" customFormat="1" ht="30.75" customHeight="1" thickBot="1">
      <c r="A26" s="236" t="s">
        <v>162</v>
      </c>
      <c r="B26" s="193"/>
      <c r="C26" s="192" t="s">
        <v>320</v>
      </c>
      <c r="E26" s="89">
        <v>0.05</v>
      </c>
      <c r="G26" s="80">
        <f>5921+3581717261</f>
        <v>3581723182</v>
      </c>
      <c r="H26" s="71"/>
      <c r="I26" s="71">
        <v>0</v>
      </c>
      <c r="J26" s="71"/>
      <c r="K26" s="71">
        <f t="shared" si="0"/>
        <v>3581723182</v>
      </c>
      <c r="L26" s="71"/>
      <c r="M26" s="71">
        <f>20345+5833665943</f>
        <v>5833686288</v>
      </c>
      <c r="N26" s="71"/>
      <c r="O26" s="71">
        <v>0</v>
      </c>
      <c r="P26" s="71"/>
      <c r="Q26" s="71">
        <f t="shared" si="1"/>
        <v>5833686288</v>
      </c>
    </row>
    <row r="27" spans="1:17" s="110" customFormat="1" ht="30.75" customHeight="1" thickBot="1">
      <c r="A27" s="236" t="s">
        <v>294</v>
      </c>
      <c r="B27" s="193"/>
      <c r="C27" s="192" t="s">
        <v>91</v>
      </c>
      <c r="E27" s="94">
        <v>0.22500000000000001</v>
      </c>
      <c r="G27" s="225">
        <v>4054931509.6551723</v>
      </c>
      <c r="H27" s="71"/>
      <c r="I27" s="71">
        <v>-77723199</v>
      </c>
      <c r="J27" s="71"/>
      <c r="K27" s="71">
        <f t="shared" si="0"/>
        <v>3977208310.6551723</v>
      </c>
      <c r="L27" s="71"/>
      <c r="M27" s="71">
        <v>4054931509.6551723</v>
      </c>
      <c r="N27" s="71"/>
      <c r="O27" s="71">
        <v>-77723199</v>
      </c>
      <c r="P27" s="71"/>
      <c r="Q27" s="71">
        <f t="shared" si="1"/>
        <v>3977208310.6551723</v>
      </c>
    </row>
    <row r="28" spans="1:17" s="110" customFormat="1" ht="30.75" customHeight="1" thickBot="1">
      <c r="A28" s="236" t="s">
        <v>116</v>
      </c>
      <c r="B28" s="193"/>
      <c r="C28" s="192" t="s">
        <v>314</v>
      </c>
      <c r="E28" s="89">
        <v>0.05</v>
      </c>
      <c r="G28" s="225">
        <f>9556+1171424658</f>
        <v>1171434214</v>
      </c>
      <c r="H28" s="71"/>
      <c r="I28" s="71">
        <v>0</v>
      </c>
      <c r="J28" s="71"/>
      <c r="K28" s="71">
        <f t="shared" si="0"/>
        <v>1171434214</v>
      </c>
      <c r="L28" s="71"/>
      <c r="M28" s="71">
        <f>38971+1171424658</f>
        <v>1171463629</v>
      </c>
      <c r="N28" s="71"/>
      <c r="O28" s="71">
        <v>0</v>
      </c>
      <c r="P28" s="71"/>
      <c r="Q28" s="71">
        <f t="shared" si="1"/>
        <v>1171463629</v>
      </c>
    </row>
    <row r="29" spans="1:17" s="110" customFormat="1" ht="30.75" customHeight="1" thickBot="1">
      <c r="A29" s="236" t="s">
        <v>271</v>
      </c>
      <c r="B29" s="193"/>
      <c r="C29" s="192" t="s">
        <v>307</v>
      </c>
      <c r="E29" s="94">
        <v>0.22500000000000001</v>
      </c>
      <c r="G29" s="71">
        <v>120328768</v>
      </c>
      <c r="H29" s="71"/>
      <c r="I29" s="71">
        <v>-2116577</v>
      </c>
      <c r="J29" s="71"/>
      <c r="K29" s="71">
        <f t="shared" si="0"/>
        <v>118212191</v>
      </c>
      <c r="L29" s="71"/>
      <c r="M29" s="71">
        <v>124089042</v>
      </c>
      <c r="N29" s="71"/>
      <c r="O29" s="71">
        <v>-2116577</v>
      </c>
      <c r="P29" s="71"/>
      <c r="Q29" s="71">
        <f t="shared" si="1"/>
        <v>121972465</v>
      </c>
    </row>
    <row r="30" spans="1:17" s="110" customFormat="1" ht="30.75" customHeight="1" thickBot="1">
      <c r="A30" s="236" t="s">
        <v>171</v>
      </c>
      <c r="B30" s="193"/>
      <c r="C30" s="192" t="s">
        <v>309</v>
      </c>
      <c r="E30" s="94">
        <v>0.22500000000000001</v>
      </c>
      <c r="G30" s="225">
        <v>0</v>
      </c>
      <c r="H30" s="71"/>
      <c r="I30" s="71">
        <v>0</v>
      </c>
      <c r="J30" s="71"/>
      <c r="K30" s="71">
        <f t="shared" si="0"/>
        <v>0</v>
      </c>
      <c r="L30" s="71"/>
      <c r="M30" s="71">
        <v>5942619864</v>
      </c>
      <c r="N30" s="71"/>
      <c r="O30" s="71">
        <v>0</v>
      </c>
      <c r="P30" s="71"/>
      <c r="Q30" s="71">
        <f t="shared" si="1"/>
        <v>5942619864</v>
      </c>
    </row>
    <row r="31" spans="1:17" s="110" customFormat="1" ht="30.75" customHeight="1" thickBot="1">
      <c r="A31" s="236" t="s">
        <v>166</v>
      </c>
      <c r="B31" s="193"/>
      <c r="C31" s="192" t="s">
        <v>309</v>
      </c>
      <c r="E31" s="94">
        <v>0.22500000000000001</v>
      </c>
      <c r="G31" s="225">
        <v>0</v>
      </c>
      <c r="H31" s="71"/>
      <c r="I31" s="71">
        <v>0</v>
      </c>
      <c r="J31" s="71"/>
      <c r="K31" s="71">
        <f t="shared" si="0"/>
        <v>0</v>
      </c>
      <c r="L31" s="71"/>
      <c r="M31" s="71">
        <v>303333906</v>
      </c>
      <c r="N31" s="71"/>
      <c r="O31" s="71">
        <v>0</v>
      </c>
      <c r="P31" s="71"/>
      <c r="Q31" s="71">
        <f t="shared" si="1"/>
        <v>303333906</v>
      </c>
    </row>
    <row r="32" spans="1:17" s="110" customFormat="1" ht="30.75" customHeight="1">
      <c r="A32" s="236" t="s">
        <v>189</v>
      </c>
      <c r="B32" s="193"/>
      <c r="C32" s="192" t="s">
        <v>309</v>
      </c>
      <c r="E32" s="94">
        <v>0.22500000000000001</v>
      </c>
      <c r="G32" s="71">
        <v>0</v>
      </c>
      <c r="H32" s="71"/>
      <c r="I32" s="71">
        <v>0</v>
      </c>
      <c r="J32" s="71"/>
      <c r="K32" s="71">
        <f t="shared" si="0"/>
        <v>0</v>
      </c>
      <c r="L32" s="71"/>
      <c r="M32" s="71">
        <v>38065069</v>
      </c>
      <c r="N32" s="71"/>
      <c r="O32" s="71">
        <v>0</v>
      </c>
      <c r="P32" s="71"/>
      <c r="Q32" s="71">
        <f t="shared" si="1"/>
        <v>38065069</v>
      </c>
    </row>
    <row r="33" spans="1:17" s="110" customFormat="1" ht="30.75" customHeight="1">
      <c r="A33" s="236" t="s">
        <v>204</v>
      </c>
      <c r="B33" s="193"/>
      <c r="C33" s="192" t="s">
        <v>309</v>
      </c>
      <c r="E33" s="94">
        <v>0.22500000000000001</v>
      </c>
      <c r="G33" s="71">
        <v>0</v>
      </c>
      <c r="H33" s="71"/>
      <c r="I33" s="71">
        <v>0</v>
      </c>
      <c r="J33" s="71"/>
      <c r="K33" s="71">
        <f t="shared" si="0"/>
        <v>0</v>
      </c>
      <c r="L33" s="71"/>
      <c r="M33" s="71">
        <v>10861662328</v>
      </c>
      <c r="N33" s="71"/>
      <c r="O33" s="71">
        <v>0</v>
      </c>
      <c r="P33" s="71"/>
      <c r="Q33" s="71">
        <f t="shared" si="1"/>
        <v>10861662328</v>
      </c>
    </row>
    <row r="34" spans="1:17" s="110" customFormat="1" ht="30.75" customHeight="1">
      <c r="A34" s="236" t="s">
        <v>186</v>
      </c>
      <c r="B34" s="193"/>
      <c r="C34" s="192" t="s">
        <v>309</v>
      </c>
      <c r="E34" s="94">
        <v>0.22500000000000001</v>
      </c>
      <c r="G34" s="80">
        <v>0</v>
      </c>
      <c r="H34" s="71"/>
      <c r="I34" s="71">
        <v>0</v>
      </c>
      <c r="J34" s="71"/>
      <c r="K34" s="71">
        <f t="shared" si="0"/>
        <v>0</v>
      </c>
      <c r="L34" s="71"/>
      <c r="M34" s="191">
        <v>64417808</v>
      </c>
      <c r="N34" s="71"/>
      <c r="O34" s="71">
        <v>0</v>
      </c>
      <c r="P34" s="71"/>
      <c r="Q34" s="71">
        <f t="shared" si="1"/>
        <v>64417808</v>
      </c>
    </row>
    <row r="35" spans="1:17" s="110" customFormat="1" ht="30.75" customHeight="1" thickBot="1">
      <c r="A35" s="236" t="s">
        <v>198</v>
      </c>
      <c r="B35" s="193"/>
      <c r="C35" s="192" t="s">
        <v>309</v>
      </c>
      <c r="E35" s="94">
        <v>0.22500000000000001</v>
      </c>
      <c r="G35" s="71">
        <v>0</v>
      </c>
      <c r="H35" s="71"/>
      <c r="I35" s="71">
        <v>0</v>
      </c>
      <c r="J35" s="71"/>
      <c r="K35" s="71">
        <f t="shared" si="0"/>
        <v>0</v>
      </c>
      <c r="L35" s="71"/>
      <c r="M35" s="191">
        <v>309673973</v>
      </c>
      <c r="N35" s="71"/>
      <c r="O35" s="71">
        <v>0</v>
      </c>
      <c r="P35" s="71"/>
      <c r="Q35" s="71">
        <f t="shared" si="1"/>
        <v>309673973</v>
      </c>
    </row>
    <row r="36" spans="1:17" s="110" customFormat="1" ht="30.75" customHeight="1" thickBot="1">
      <c r="A36" s="236" t="s">
        <v>200</v>
      </c>
      <c r="B36" s="193"/>
      <c r="C36" s="192" t="s">
        <v>309</v>
      </c>
      <c r="E36" s="94">
        <v>0.22500000000000001</v>
      </c>
      <c r="G36" s="225">
        <v>0</v>
      </c>
      <c r="H36" s="71"/>
      <c r="I36" s="71">
        <v>0</v>
      </c>
      <c r="J36" s="71"/>
      <c r="K36" s="71">
        <f t="shared" si="0"/>
        <v>0</v>
      </c>
      <c r="L36" s="71"/>
      <c r="M36" s="71">
        <v>25767124</v>
      </c>
      <c r="N36" s="71"/>
      <c r="O36" s="71">
        <v>0</v>
      </c>
      <c r="P36" s="71"/>
      <c r="Q36" s="71">
        <f t="shared" si="1"/>
        <v>25767124</v>
      </c>
    </row>
    <row r="37" spans="1:17" s="110" customFormat="1" ht="30.75" customHeight="1" thickBot="1">
      <c r="A37" s="236" t="s">
        <v>187</v>
      </c>
      <c r="B37" s="193"/>
      <c r="C37" s="192" t="s">
        <v>309</v>
      </c>
      <c r="E37" s="94">
        <v>0.22500000000000001</v>
      </c>
      <c r="G37" s="225">
        <v>0</v>
      </c>
      <c r="H37" s="71"/>
      <c r="I37" s="71">
        <v>0</v>
      </c>
      <c r="J37" s="71"/>
      <c r="K37" s="71">
        <f t="shared" si="0"/>
        <v>0</v>
      </c>
      <c r="L37" s="71"/>
      <c r="M37" s="71">
        <v>81986301</v>
      </c>
      <c r="N37" s="71"/>
      <c r="O37" s="71">
        <v>0</v>
      </c>
      <c r="P37" s="71"/>
      <c r="Q37" s="71">
        <f t="shared" si="1"/>
        <v>81986301</v>
      </c>
    </row>
    <row r="38" spans="1:17" s="110" customFormat="1" ht="30.75" customHeight="1" thickBot="1">
      <c r="A38" s="236" t="s">
        <v>201</v>
      </c>
      <c r="B38" s="193"/>
      <c r="C38" s="192" t="s">
        <v>309</v>
      </c>
      <c r="E38" s="94">
        <v>0.22500000000000001</v>
      </c>
      <c r="G38" s="225">
        <v>0</v>
      </c>
      <c r="H38" s="71"/>
      <c r="I38" s="71">
        <v>0</v>
      </c>
      <c r="J38" s="71"/>
      <c r="K38" s="71">
        <f t="shared" si="0"/>
        <v>0</v>
      </c>
      <c r="L38" s="71"/>
      <c r="M38" s="71">
        <v>5856165</v>
      </c>
      <c r="N38" s="71"/>
      <c r="O38" s="71">
        <v>0</v>
      </c>
      <c r="P38" s="71"/>
      <c r="Q38" s="71">
        <f t="shared" si="1"/>
        <v>5856165</v>
      </c>
    </row>
    <row r="39" spans="1:17" s="110" customFormat="1" ht="30.75" customHeight="1">
      <c r="A39" s="236" t="s">
        <v>205</v>
      </c>
      <c r="B39" s="193"/>
      <c r="C39" s="192" t="s">
        <v>309</v>
      </c>
      <c r="E39" s="94">
        <v>0.22500000000000001</v>
      </c>
      <c r="G39" s="80">
        <v>0</v>
      </c>
      <c r="H39" s="71"/>
      <c r="I39" s="71">
        <v>0</v>
      </c>
      <c r="J39" s="71"/>
      <c r="K39" s="71">
        <f t="shared" si="0"/>
        <v>0</v>
      </c>
      <c r="L39" s="71"/>
      <c r="M39" s="191">
        <v>1557036986</v>
      </c>
      <c r="N39" s="71"/>
      <c r="O39" s="71">
        <v>0</v>
      </c>
      <c r="P39" s="71"/>
      <c r="Q39" s="71">
        <f t="shared" si="1"/>
        <v>1557036986</v>
      </c>
    </row>
    <row r="40" spans="1:17" s="110" customFormat="1" ht="30.75" customHeight="1" thickBot="1">
      <c r="A40" s="236" t="s">
        <v>191</v>
      </c>
      <c r="B40" s="193"/>
      <c r="C40" s="192" t="s">
        <v>310</v>
      </c>
      <c r="E40" s="94">
        <v>0.22500000000000001</v>
      </c>
      <c r="G40" s="226">
        <v>0</v>
      </c>
      <c r="H40" s="71"/>
      <c r="I40" s="71">
        <v>0</v>
      </c>
      <c r="J40" s="71"/>
      <c r="K40" s="71">
        <f t="shared" si="0"/>
        <v>0</v>
      </c>
      <c r="L40" s="71"/>
      <c r="M40" s="226">
        <v>1510273972</v>
      </c>
      <c r="N40" s="71"/>
      <c r="O40" s="71">
        <v>0</v>
      </c>
      <c r="P40" s="71"/>
      <c r="Q40" s="71">
        <f t="shared" si="1"/>
        <v>1510273972</v>
      </c>
    </row>
    <row r="41" spans="1:17" s="110" customFormat="1" ht="30.75" customHeight="1" thickBot="1">
      <c r="A41" s="236" t="s">
        <v>199</v>
      </c>
      <c r="B41" s="193"/>
      <c r="C41" s="192" t="s">
        <v>311</v>
      </c>
      <c r="E41" s="94">
        <v>0.22500000000000001</v>
      </c>
      <c r="G41" s="225">
        <v>0</v>
      </c>
      <c r="H41" s="71"/>
      <c r="I41" s="71">
        <v>0</v>
      </c>
      <c r="J41" s="71"/>
      <c r="K41" s="71">
        <f t="shared" si="0"/>
        <v>0</v>
      </c>
      <c r="L41" s="71"/>
      <c r="M41" s="71">
        <v>102914383</v>
      </c>
      <c r="N41" s="71"/>
      <c r="O41" s="71">
        <v>0</v>
      </c>
      <c r="P41" s="71"/>
      <c r="Q41" s="71">
        <f t="shared" si="1"/>
        <v>102914383</v>
      </c>
    </row>
    <row r="42" spans="1:17" s="110" customFormat="1" ht="30.75" customHeight="1">
      <c r="A42" s="236" t="s">
        <v>197</v>
      </c>
      <c r="B42" s="193"/>
      <c r="C42" s="192" t="s">
        <v>312</v>
      </c>
      <c r="E42" s="94">
        <v>0.22500000000000001</v>
      </c>
      <c r="G42" s="80">
        <v>0</v>
      </c>
      <c r="H42" s="71"/>
      <c r="I42" s="71">
        <v>0</v>
      </c>
      <c r="J42" s="71"/>
      <c r="K42" s="71">
        <f t="shared" si="0"/>
        <v>0</v>
      </c>
      <c r="L42" s="71"/>
      <c r="M42" s="71">
        <v>440228528</v>
      </c>
      <c r="N42" s="71"/>
      <c r="O42" s="71">
        <v>0</v>
      </c>
      <c r="P42" s="71"/>
      <c r="Q42" s="71">
        <f t="shared" si="1"/>
        <v>440228528</v>
      </c>
    </row>
    <row r="43" spans="1:17" s="110" customFormat="1" ht="30.75" customHeight="1" thickBot="1">
      <c r="A43" s="236" t="s">
        <v>206</v>
      </c>
      <c r="B43" s="193"/>
      <c r="C43" s="192" t="s">
        <v>310</v>
      </c>
      <c r="E43" s="94">
        <v>0.22500000000000001</v>
      </c>
      <c r="G43" s="80">
        <v>0</v>
      </c>
      <c r="H43" s="71"/>
      <c r="I43" s="71">
        <v>0</v>
      </c>
      <c r="J43" s="71"/>
      <c r="K43" s="71">
        <f t="shared" si="0"/>
        <v>0</v>
      </c>
      <c r="L43" s="71"/>
      <c r="M43" s="71">
        <v>257307534</v>
      </c>
      <c r="N43" s="71"/>
      <c r="O43" s="71">
        <v>0</v>
      </c>
      <c r="P43" s="71"/>
      <c r="Q43" s="71">
        <f t="shared" si="1"/>
        <v>257307534</v>
      </c>
    </row>
    <row r="44" spans="1:17" s="110" customFormat="1" ht="30.75" customHeight="1" thickBot="1">
      <c r="A44" s="236" t="s">
        <v>203</v>
      </c>
      <c r="B44" s="193"/>
      <c r="C44" s="192" t="s">
        <v>313</v>
      </c>
      <c r="E44" s="94">
        <v>0.22500000000000001</v>
      </c>
      <c r="G44" s="225">
        <v>9554794</v>
      </c>
      <c r="H44" s="71"/>
      <c r="I44" s="71">
        <v>-173490</v>
      </c>
      <c r="J44" s="71"/>
      <c r="K44" s="71">
        <f t="shared" si="0"/>
        <v>9381304</v>
      </c>
      <c r="L44" s="71"/>
      <c r="M44" s="71">
        <v>31130131</v>
      </c>
      <c r="N44" s="71"/>
      <c r="O44" s="71">
        <v>-173490</v>
      </c>
      <c r="P44" s="71"/>
      <c r="Q44" s="71">
        <f t="shared" si="1"/>
        <v>30956641</v>
      </c>
    </row>
    <row r="45" spans="1:17" s="110" customFormat="1" ht="30.75" customHeight="1" thickBot="1">
      <c r="A45" s="236" t="s">
        <v>207</v>
      </c>
      <c r="B45" s="193"/>
      <c r="C45" s="192" t="s">
        <v>311</v>
      </c>
      <c r="E45" s="94">
        <v>0.22500000000000001</v>
      </c>
      <c r="G45" s="225">
        <v>0</v>
      </c>
      <c r="H45" s="71"/>
      <c r="I45" s="71">
        <v>0</v>
      </c>
      <c r="J45" s="71"/>
      <c r="K45" s="71">
        <f t="shared" si="0"/>
        <v>0</v>
      </c>
      <c r="L45" s="71"/>
      <c r="M45" s="71">
        <v>687476712</v>
      </c>
      <c r="N45" s="71"/>
      <c r="O45" s="71">
        <v>0</v>
      </c>
      <c r="P45" s="71"/>
      <c r="Q45" s="71">
        <f t="shared" si="1"/>
        <v>687476712</v>
      </c>
    </row>
    <row r="46" spans="1:17" s="110" customFormat="1" ht="30.75" customHeight="1" thickBot="1">
      <c r="A46" s="236" t="s">
        <v>192</v>
      </c>
      <c r="B46" s="193"/>
      <c r="C46" s="192" t="s">
        <v>308</v>
      </c>
      <c r="E46" s="94">
        <v>0.22500000000000001</v>
      </c>
      <c r="G46" s="71">
        <v>73084929</v>
      </c>
      <c r="H46" s="71"/>
      <c r="I46" s="71">
        <v>0</v>
      </c>
      <c r="J46" s="71"/>
      <c r="K46" s="71">
        <f t="shared" si="0"/>
        <v>73084929</v>
      </c>
      <c r="L46" s="71"/>
      <c r="M46" s="71">
        <v>241742466</v>
      </c>
      <c r="N46" s="71"/>
      <c r="O46" s="71">
        <v>0</v>
      </c>
      <c r="P46" s="71"/>
      <c r="Q46" s="71">
        <f t="shared" si="1"/>
        <v>241742466</v>
      </c>
    </row>
    <row r="47" spans="1:17" s="110" customFormat="1" ht="30.75" customHeight="1" thickBot="1">
      <c r="A47" s="236" t="s">
        <v>195</v>
      </c>
      <c r="B47" s="193"/>
      <c r="C47" s="192" t="s">
        <v>313</v>
      </c>
      <c r="E47" s="94">
        <v>0.22500000000000001</v>
      </c>
      <c r="G47" s="225">
        <v>95547946</v>
      </c>
      <c r="H47" s="71"/>
      <c r="I47" s="71">
        <v>-1734899</v>
      </c>
      <c r="J47" s="71"/>
      <c r="K47" s="71">
        <f t="shared" si="0"/>
        <v>93813047</v>
      </c>
      <c r="L47" s="71"/>
      <c r="M47" s="71">
        <v>280479459</v>
      </c>
      <c r="N47" s="71"/>
      <c r="O47" s="71">
        <v>-1734899</v>
      </c>
      <c r="P47" s="71"/>
      <c r="Q47" s="71">
        <f t="shared" si="1"/>
        <v>278744560</v>
      </c>
    </row>
    <row r="48" spans="1:17" s="110" customFormat="1" ht="30.75" customHeight="1">
      <c r="A48" s="236" t="s">
        <v>249</v>
      </c>
      <c r="B48" s="193"/>
      <c r="C48" s="192" t="s">
        <v>313</v>
      </c>
      <c r="E48" s="94">
        <v>0.22500000000000001</v>
      </c>
      <c r="G48" s="226">
        <v>453011939</v>
      </c>
      <c r="H48" s="71"/>
      <c r="I48" s="71">
        <v>-8225502</v>
      </c>
      <c r="J48" s="71"/>
      <c r="K48" s="71">
        <f t="shared" si="0"/>
        <v>444786437</v>
      </c>
      <c r="L48" s="71">
        <f>H48+J48</f>
        <v>0</v>
      </c>
      <c r="M48" s="191">
        <v>1615043846</v>
      </c>
      <c r="N48" s="71"/>
      <c r="O48" s="71">
        <v>-8225502</v>
      </c>
      <c r="P48" s="71"/>
      <c r="Q48" s="71">
        <f t="shared" si="1"/>
        <v>1606818344</v>
      </c>
    </row>
    <row r="49" spans="1:17" s="110" customFormat="1" ht="30.75" customHeight="1" thickBot="1">
      <c r="A49" s="236" t="s">
        <v>250</v>
      </c>
      <c r="B49" s="193"/>
      <c r="C49" s="192" t="s">
        <v>311</v>
      </c>
      <c r="E49" s="94">
        <v>0.22500000000000001</v>
      </c>
      <c r="G49" s="80">
        <v>0</v>
      </c>
      <c r="H49" s="71"/>
      <c r="I49" s="71">
        <v>0</v>
      </c>
      <c r="J49" s="71"/>
      <c r="K49" s="71">
        <f t="shared" si="0"/>
        <v>0</v>
      </c>
      <c r="L49" s="71"/>
      <c r="M49" s="71">
        <v>51047260</v>
      </c>
      <c r="N49" s="71"/>
      <c r="O49" s="71">
        <v>0</v>
      </c>
      <c r="P49" s="71"/>
      <c r="Q49" s="71">
        <f t="shared" si="1"/>
        <v>51047260</v>
      </c>
    </row>
    <row r="50" spans="1:17" s="110" customFormat="1" ht="30.75" customHeight="1" thickBot="1">
      <c r="A50" s="236" t="s">
        <v>245</v>
      </c>
      <c r="B50" s="193"/>
      <c r="C50" s="192" t="s">
        <v>313</v>
      </c>
      <c r="E50" s="94">
        <v>0.22500000000000001</v>
      </c>
      <c r="G50" s="225">
        <v>57328765</v>
      </c>
      <c r="H50" s="71"/>
      <c r="I50" s="71">
        <v>-1040939</v>
      </c>
      <c r="J50" s="71"/>
      <c r="K50" s="71">
        <f t="shared" si="0"/>
        <v>56287826</v>
      </c>
      <c r="L50" s="71"/>
      <c r="M50" s="71">
        <v>916027395</v>
      </c>
      <c r="N50" s="71"/>
      <c r="O50" s="71">
        <v>-1040939</v>
      </c>
      <c r="P50" s="71"/>
      <c r="Q50" s="71">
        <f t="shared" si="1"/>
        <v>914986456</v>
      </c>
    </row>
    <row r="51" spans="1:17" s="110" customFormat="1" ht="30.75" customHeight="1" thickBot="1">
      <c r="A51" s="236" t="s">
        <v>243</v>
      </c>
      <c r="B51" s="193"/>
      <c r="C51" s="192" t="s">
        <v>313</v>
      </c>
      <c r="E51" s="94">
        <v>0.22500000000000001</v>
      </c>
      <c r="G51" s="225">
        <v>321843700</v>
      </c>
      <c r="H51" s="71"/>
      <c r="I51" s="71">
        <v>-5843833</v>
      </c>
      <c r="J51" s="71"/>
      <c r="K51" s="71">
        <f t="shared" si="0"/>
        <v>315999867</v>
      </c>
      <c r="L51" s="71"/>
      <c r="M51" s="71">
        <v>1577754253</v>
      </c>
      <c r="N51" s="71"/>
      <c r="O51" s="71">
        <v>-5843833</v>
      </c>
      <c r="P51" s="71"/>
      <c r="Q51" s="71">
        <f t="shared" si="1"/>
        <v>1571910420</v>
      </c>
    </row>
    <row r="52" spans="1:17" s="110" customFormat="1" ht="30.75" customHeight="1" thickBot="1">
      <c r="A52" s="236" t="s">
        <v>242</v>
      </c>
      <c r="B52" s="193"/>
      <c r="C52" s="192" t="s">
        <v>313</v>
      </c>
      <c r="E52" s="94">
        <v>0.22500000000000001</v>
      </c>
      <c r="G52" s="225">
        <v>85515413</v>
      </c>
      <c r="H52" s="71"/>
      <c r="I52" s="71">
        <v>-1552735</v>
      </c>
      <c r="J52" s="71"/>
      <c r="K52" s="71">
        <f t="shared" si="0"/>
        <v>83962678</v>
      </c>
      <c r="L52" s="71"/>
      <c r="M52" s="71">
        <v>239994874</v>
      </c>
      <c r="N52" s="71"/>
      <c r="O52" s="71">
        <v>-1552735</v>
      </c>
      <c r="P52" s="71"/>
      <c r="Q52" s="71">
        <f t="shared" si="1"/>
        <v>238442139</v>
      </c>
    </row>
    <row r="53" spans="1:17" s="110" customFormat="1" ht="30.75" customHeight="1" thickBot="1">
      <c r="A53" s="236" t="s">
        <v>241</v>
      </c>
      <c r="B53" s="193"/>
      <c r="C53" s="192" t="s">
        <v>313</v>
      </c>
      <c r="E53" s="94">
        <v>0.22500000000000001</v>
      </c>
      <c r="G53" s="226">
        <v>38219180</v>
      </c>
      <c r="H53" s="71"/>
      <c r="I53" s="71">
        <v>-693960</v>
      </c>
      <c r="J53" s="71"/>
      <c r="K53" s="71">
        <f t="shared" si="0"/>
        <v>37525220</v>
      </c>
      <c r="L53" s="71"/>
      <c r="M53" s="71">
        <v>107260283</v>
      </c>
      <c r="N53" s="71"/>
      <c r="O53" s="71">
        <v>-693960</v>
      </c>
      <c r="P53" s="71"/>
      <c r="Q53" s="71">
        <f t="shared" si="1"/>
        <v>106566323</v>
      </c>
    </row>
    <row r="54" spans="1:17" s="110" customFormat="1" ht="30.75" customHeight="1" thickBot="1">
      <c r="A54" s="236" t="s">
        <v>239</v>
      </c>
      <c r="B54" s="193"/>
      <c r="C54" s="192" t="s">
        <v>311</v>
      </c>
      <c r="E54" s="94">
        <v>0.22500000000000001</v>
      </c>
      <c r="G54" s="225">
        <v>0</v>
      </c>
      <c r="H54" s="71"/>
      <c r="I54" s="71">
        <v>0</v>
      </c>
      <c r="J54" s="71"/>
      <c r="K54" s="71">
        <f t="shared" si="0"/>
        <v>0</v>
      </c>
      <c r="L54" s="71"/>
      <c r="M54" s="71">
        <v>22654110</v>
      </c>
      <c r="N54" s="71"/>
      <c r="O54" s="71">
        <v>0</v>
      </c>
      <c r="P54" s="71"/>
      <c r="Q54" s="71">
        <f t="shared" si="1"/>
        <v>22654110</v>
      </c>
    </row>
    <row r="55" spans="1:17" s="110" customFormat="1" ht="30.75" customHeight="1">
      <c r="A55" s="236" t="s">
        <v>238</v>
      </c>
      <c r="B55" s="193"/>
      <c r="C55" s="192" t="s">
        <v>313</v>
      </c>
      <c r="E55" s="94">
        <v>0.22500000000000001</v>
      </c>
      <c r="G55" s="71">
        <v>130900686</v>
      </c>
      <c r="H55" s="71"/>
      <c r="I55" s="71">
        <v>-2376812</v>
      </c>
      <c r="J55" s="71"/>
      <c r="K55" s="71">
        <f t="shared" si="0"/>
        <v>128523874</v>
      </c>
      <c r="L55" s="71"/>
      <c r="M55" s="71">
        <v>367366446</v>
      </c>
      <c r="N55" s="71"/>
      <c r="O55" s="71">
        <v>-2376812</v>
      </c>
      <c r="P55" s="71"/>
      <c r="Q55" s="71">
        <f t="shared" si="1"/>
        <v>364989634</v>
      </c>
    </row>
    <row r="56" spans="1:17" s="110" customFormat="1" ht="30.75" customHeight="1">
      <c r="A56" s="236" t="s">
        <v>251</v>
      </c>
      <c r="B56" s="193"/>
      <c r="C56" s="192" t="s">
        <v>313</v>
      </c>
      <c r="E56" s="94">
        <v>0.22500000000000001</v>
      </c>
      <c r="G56" s="71">
        <v>41850000</v>
      </c>
      <c r="H56" s="71"/>
      <c r="I56" s="71">
        <v>-759886</v>
      </c>
      <c r="J56" s="71"/>
      <c r="K56" s="71">
        <f t="shared" si="0"/>
        <v>41090114</v>
      </c>
      <c r="L56" s="71"/>
      <c r="M56" s="71">
        <v>117450000</v>
      </c>
      <c r="N56" s="71"/>
      <c r="O56" s="71">
        <v>-759886</v>
      </c>
      <c r="P56" s="71"/>
      <c r="Q56" s="71">
        <f t="shared" si="1"/>
        <v>116690114</v>
      </c>
    </row>
    <row r="57" spans="1:17" s="110" customFormat="1" ht="30.75" customHeight="1">
      <c r="A57" s="236" t="s">
        <v>246</v>
      </c>
      <c r="B57" s="193"/>
      <c r="C57" s="192" t="s">
        <v>313</v>
      </c>
      <c r="E57" s="94">
        <v>0.22500000000000001</v>
      </c>
      <c r="G57" s="80">
        <v>4777400</v>
      </c>
      <c r="H57" s="71"/>
      <c r="I57" s="71">
        <v>-86745</v>
      </c>
      <c r="J57" s="71"/>
      <c r="K57" s="71">
        <f t="shared" si="0"/>
        <v>4690655</v>
      </c>
      <c r="L57" s="71"/>
      <c r="M57" s="71">
        <v>13407547</v>
      </c>
      <c r="N57" s="71"/>
      <c r="O57" s="71">
        <v>-86745</v>
      </c>
      <c r="P57" s="71"/>
      <c r="Q57" s="71">
        <f t="shared" si="1"/>
        <v>13320802</v>
      </c>
    </row>
    <row r="58" spans="1:17" s="110" customFormat="1" ht="30.75" customHeight="1">
      <c r="A58" s="236" t="s">
        <v>237</v>
      </c>
      <c r="B58" s="193"/>
      <c r="C58" s="192" t="s">
        <v>313</v>
      </c>
      <c r="E58" s="94">
        <v>0.22500000000000001</v>
      </c>
      <c r="G58" s="80">
        <v>1414109586</v>
      </c>
      <c r="H58" s="71"/>
      <c r="I58" s="71">
        <v>-25676502</v>
      </c>
      <c r="J58" s="71"/>
      <c r="K58" s="71">
        <f t="shared" si="0"/>
        <v>1388433084</v>
      </c>
      <c r="L58" s="71"/>
      <c r="M58" s="71">
        <v>9474657523</v>
      </c>
      <c r="N58" s="71"/>
      <c r="O58" s="71">
        <v>-25676502</v>
      </c>
      <c r="P58" s="71"/>
      <c r="Q58" s="71">
        <f t="shared" si="1"/>
        <v>9448981021</v>
      </c>
    </row>
    <row r="59" spans="1:17" s="110" customFormat="1" ht="30.75" customHeight="1">
      <c r="A59" s="236" t="s">
        <v>252</v>
      </c>
      <c r="B59" s="193"/>
      <c r="C59" s="192" t="s">
        <v>311</v>
      </c>
      <c r="E59" s="94">
        <v>0.22500000000000001</v>
      </c>
      <c r="G59" s="80">
        <v>0</v>
      </c>
      <c r="H59" s="71"/>
      <c r="I59" s="71">
        <v>0</v>
      </c>
      <c r="J59" s="71"/>
      <c r="K59" s="71">
        <f t="shared" si="0"/>
        <v>0</v>
      </c>
      <c r="L59" s="71"/>
      <c r="M59" s="71">
        <v>292561643</v>
      </c>
      <c r="N59" s="71"/>
      <c r="O59" s="71">
        <v>0</v>
      </c>
      <c r="P59" s="71"/>
      <c r="Q59" s="71">
        <f t="shared" si="1"/>
        <v>292561643</v>
      </c>
    </row>
    <row r="60" spans="1:17" s="110" customFormat="1" ht="30.75" customHeight="1">
      <c r="A60" s="236" t="s">
        <v>248</v>
      </c>
      <c r="B60" s="193"/>
      <c r="C60" s="192" t="s">
        <v>314</v>
      </c>
      <c r="E60" s="94">
        <v>0.22500000000000001</v>
      </c>
      <c r="G60" s="71">
        <v>39652403</v>
      </c>
      <c r="H60" s="71"/>
      <c r="I60" s="71">
        <v>-719983</v>
      </c>
      <c r="J60" s="71"/>
      <c r="K60" s="71">
        <f t="shared" si="0"/>
        <v>38932420</v>
      </c>
      <c r="L60" s="71"/>
      <c r="M60" s="71">
        <v>102328780</v>
      </c>
      <c r="N60" s="71"/>
      <c r="O60" s="71">
        <v>-719983</v>
      </c>
      <c r="P60" s="71"/>
      <c r="Q60" s="71">
        <f t="shared" si="1"/>
        <v>101608797</v>
      </c>
    </row>
    <row r="61" spans="1:17" ht="30" customHeight="1">
      <c r="A61" s="236" t="s">
        <v>244</v>
      </c>
      <c r="B61" s="193"/>
      <c r="C61" s="192" t="s">
        <v>314</v>
      </c>
      <c r="D61" s="110"/>
      <c r="E61" s="94">
        <v>0.22500000000000001</v>
      </c>
      <c r="F61" s="110"/>
      <c r="G61" s="80">
        <v>165909454</v>
      </c>
      <c r="H61" s="71"/>
      <c r="I61" s="71">
        <v>-3012478</v>
      </c>
      <c r="J61" s="71"/>
      <c r="K61" s="71">
        <f t="shared" si="0"/>
        <v>162896976</v>
      </c>
      <c r="L61" s="71"/>
      <c r="M61" s="71">
        <v>428153430</v>
      </c>
      <c r="N61" s="71"/>
      <c r="O61" s="71">
        <v>-3012478</v>
      </c>
      <c r="P61" s="71"/>
      <c r="Q61" s="71">
        <f t="shared" si="1"/>
        <v>425140952</v>
      </c>
    </row>
    <row r="62" spans="1:17" ht="30" customHeight="1">
      <c r="A62" s="236" t="s">
        <v>272</v>
      </c>
      <c r="B62" s="193"/>
      <c r="C62" s="192" t="s">
        <v>315</v>
      </c>
      <c r="D62" s="110"/>
      <c r="E62" s="94">
        <v>0.22500000000000001</v>
      </c>
      <c r="F62" s="110"/>
      <c r="G62" s="80">
        <v>236712324</v>
      </c>
      <c r="H62" s="71"/>
      <c r="I62" s="71">
        <v>-4163757</v>
      </c>
      <c r="J62" s="71"/>
      <c r="K62" s="71">
        <f t="shared" si="0"/>
        <v>232548567</v>
      </c>
      <c r="L62" s="71"/>
      <c r="M62" s="191">
        <v>332876704</v>
      </c>
      <c r="N62" s="71"/>
      <c r="O62" s="71">
        <v>-4163757</v>
      </c>
      <c r="P62" s="71"/>
      <c r="Q62" s="71">
        <f t="shared" si="1"/>
        <v>328712947</v>
      </c>
    </row>
    <row r="63" spans="1:17" ht="30" customHeight="1">
      <c r="A63" s="236" t="s">
        <v>273</v>
      </c>
      <c r="B63" s="193"/>
      <c r="C63" s="192" t="s">
        <v>316</v>
      </c>
      <c r="D63" s="110"/>
      <c r="E63" s="94">
        <v>0.22500000000000001</v>
      </c>
      <c r="F63" s="110"/>
      <c r="G63" s="80">
        <v>1745753437</v>
      </c>
      <c r="H63" s="71"/>
      <c r="I63" s="71">
        <v>-30707709</v>
      </c>
      <c r="J63" s="71"/>
      <c r="K63" s="71">
        <f t="shared" si="0"/>
        <v>1715045728</v>
      </c>
      <c r="L63" s="71"/>
      <c r="M63" s="191">
        <v>2073082207</v>
      </c>
      <c r="N63" s="71"/>
      <c r="O63" s="71">
        <v>-30707709</v>
      </c>
      <c r="P63" s="71"/>
      <c r="Q63" s="71">
        <f t="shared" si="1"/>
        <v>2042374498</v>
      </c>
    </row>
    <row r="64" spans="1:17" s="110" customFormat="1" ht="30.75" customHeight="1">
      <c r="A64" s="236" t="s">
        <v>274</v>
      </c>
      <c r="B64" s="193"/>
      <c r="C64" s="192" t="s">
        <v>307</v>
      </c>
      <c r="E64" s="94">
        <v>0.22500000000000001</v>
      </c>
      <c r="G64" s="80">
        <v>924558912</v>
      </c>
      <c r="H64" s="71"/>
      <c r="I64" s="71">
        <v>-16262942</v>
      </c>
      <c r="J64" s="71"/>
      <c r="K64" s="71">
        <f t="shared" si="0"/>
        <v>908295970</v>
      </c>
      <c r="L64" s="71"/>
      <c r="M64" s="71">
        <v>953451378</v>
      </c>
      <c r="N64" s="71"/>
      <c r="O64" s="71">
        <v>-16262942</v>
      </c>
      <c r="P64" s="71"/>
      <c r="Q64" s="71">
        <f t="shared" si="1"/>
        <v>937188436</v>
      </c>
    </row>
    <row r="65" spans="1:17" s="110" customFormat="1" ht="30.75" customHeight="1">
      <c r="A65" s="236" t="s">
        <v>295</v>
      </c>
      <c r="B65" s="193"/>
      <c r="C65" s="192" t="s">
        <v>91</v>
      </c>
      <c r="E65" s="94">
        <v>0.22500000000000001</v>
      </c>
      <c r="G65" s="80">
        <v>103390272</v>
      </c>
      <c r="H65" s="71"/>
      <c r="I65" s="71">
        <v>-1877295</v>
      </c>
      <c r="J65" s="71"/>
      <c r="K65" s="71">
        <f t="shared" si="0"/>
        <v>101512977</v>
      </c>
      <c r="L65" s="71"/>
      <c r="M65" s="71">
        <v>103390272</v>
      </c>
      <c r="N65" s="71"/>
      <c r="O65" s="71">
        <v>-1877295</v>
      </c>
      <c r="P65" s="71"/>
      <c r="Q65" s="71">
        <f t="shared" si="1"/>
        <v>101512977</v>
      </c>
    </row>
    <row r="66" spans="1:17" s="110" customFormat="1" ht="30.75" customHeight="1">
      <c r="A66" s="236" t="s">
        <v>275</v>
      </c>
      <c r="B66" s="193"/>
      <c r="C66" s="192" t="s">
        <v>315</v>
      </c>
      <c r="E66" s="94">
        <v>0.22500000000000001</v>
      </c>
      <c r="G66" s="80">
        <v>264328768</v>
      </c>
      <c r="H66" s="71"/>
      <c r="I66" s="71">
        <v>-4649529</v>
      </c>
      <c r="J66" s="71"/>
      <c r="K66" s="71">
        <f t="shared" si="0"/>
        <v>259679239</v>
      </c>
      <c r="L66" s="71"/>
      <c r="M66" s="191">
        <v>371712330</v>
      </c>
      <c r="N66" s="71"/>
      <c r="O66" s="71">
        <v>-4649529</v>
      </c>
      <c r="P66" s="71"/>
      <c r="Q66" s="71">
        <f t="shared" si="1"/>
        <v>367062801</v>
      </c>
    </row>
    <row r="67" spans="1:17" s="110" customFormat="1" ht="30.75" customHeight="1">
      <c r="A67" s="236" t="s">
        <v>296</v>
      </c>
      <c r="B67" s="193"/>
      <c r="C67" s="192" t="s">
        <v>91</v>
      </c>
      <c r="E67" s="94">
        <v>0.22500000000000001</v>
      </c>
      <c r="G67" s="80">
        <v>259023700</v>
      </c>
      <c r="H67" s="71"/>
      <c r="I67" s="71">
        <v>-4703188</v>
      </c>
      <c r="J67" s="71"/>
      <c r="K67" s="71">
        <f t="shared" si="0"/>
        <v>254320512</v>
      </c>
      <c r="L67" s="71"/>
      <c r="M67" s="71">
        <v>259023700</v>
      </c>
      <c r="N67" s="71"/>
      <c r="O67" s="71">
        <v>-4703188</v>
      </c>
      <c r="P67" s="71"/>
      <c r="Q67" s="71">
        <f t="shared" si="1"/>
        <v>254320512</v>
      </c>
    </row>
    <row r="68" spans="1:17" s="110" customFormat="1" ht="30.75" customHeight="1">
      <c r="A68" s="236" t="s">
        <v>188</v>
      </c>
      <c r="B68" s="193"/>
      <c r="C68" s="192" t="s">
        <v>313</v>
      </c>
      <c r="E68" s="89">
        <v>0.05</v>
      </c>
      <c r="G68" s="80">
        <v>244062772</v>
      </c>
      <c r="H68" s="71"/>
      <c r="I68" s="71">
        <v>0</v>
      </c>
      <c r="J68" s="71"/>
      <c r="K68" s="71">
        <f t="shared" si="0"/>
        <v>244062772</v>
      </c>
      <c r="L68" s="71"/>
      <c r="M68" s="71">
        <v>263732225</v>
      </c>
      <c r="N68" s="71"/>
      <c r="O68" s="71">
        <v>0</v>
      </c>
      <c r="P68" s="71"/>
      <c r="Q68" s="71">
        <f t="shared" si="1"/>
        <v>263732225</v>
      </c>
    </row>
    <row r="69" spans="1:17" s="110" customFormat="1" ht="30.75" customHeight="1">
      <c r="A69" s="236" t="s">
        <v>169</v>
      </c>
      <c r="B69" s="193"/>
      <c r="C69" s="192" t="s">
        <v>321</v>
      </c>
      <c r="E69" s="94">
        <v>0.22500000000000001</v>
      </c>
      <c r="G69" s="80">
        <v>0</v>
      </c>
      <c r="H69" s="71"/>
      <c r="I69" s="71">
        <v>0</v>
      </c>
      <c r="J69" s="71"/>
      <c r="K69" s="71">
        <f t="shared" si="0"/>
        <v>0</v>
      </c>
      <c r="L69" s="71"/>
      <c r="M69" s="71">
        <v>2568975880</v>
      </c>
      <c r="N69" s="71"/>
      <c r="O69" s="71">
        <v>0</v>
      </c>
      <c r="P69" s="71"/>
      <c r="Q69" s="71">
        <f t="shared" si="1"/>
        <v>2568975880</v>
      </c>
    </row>
    <row r="70" spans="1:17" ht="30" customHeight="1" thickBot="1">
      <c r="A70" s="236" t="s">
        <v>247</v>
      </c>
      <c r="B70" s="193"/>
      <c r="C70" s="192" t="s">
        <v>303</v>
      </c>
      <c r="D70" s="110"/>
      <c r="E70" s="94">
        <v>0.22500000000000001</v>
      </c>
      <c r="F70" s="110"/>
      <c r="G70" s="71">
        <v>0</v>
      </c>
      <c r="H70" s="71"/>
      <c r="I70" s="71">
        <v>0</v>
      </c>
      <c r="J70" s="71"/>
      <c r="K70" s="71">
        <f t="shared" si="0"/>
        <v>0</v>
      </c>
      <c r="L70" s="71"/>
      <c r="M70" s="71">
        <v>5424657534</v>
      </c>
      <c r="N70" s="71"/>
      <c r="O70" s="71">
        <v>0</v>
      </c>
      <c r="P70" s="71"/>
      <c r="Q70" s="71">
        <f t="shared" si="1"/>
        <v>5424657534</v>
      </c>
    </row>
    <row r="71" spans="1:17" s="110" customFormat="1" ht="30.75" customHeight="1" thickBot="1">
      <c r="A71" s="236" t="s">
        <v>270</v>
      </c>
      <c r="B71" s="193"/>
      <c r="C71" s="192" t="s">
        <v>308</v>
      </c>
      <c r="E71" s="94">
        <v>0.22500000000000001</v>
      </c>
      <c r="G71" s="225">
        <v>308219181.5454545</v>
      </c>
      <c r="H71" s="71"/>
      <c r="I71" s="71">
        <v>0</v>
      </c>
      <c r="J71" s="71"/>
      <c r="K71" s="71">
        <f t="shared" si="0"/>
        <v>308219181.5454545</v>
      </c>
      <c r="L71" s="71"/>
      <c r="M71" s="71">
        <v>6780821916.272727</v>
      </c>
      <c r="N71" s="71"/>
      <c r="O71" s="71">
        <v>0</v>
      </c>
      <c r="P71" s="71"/>
      <c r="Q71" s="71">
        <f t="shared" si="1"/>
        <v>6780821916.272727</v>
      </c>
    </row>
    <row r="72" spans="1:17" s="110" customFormat="1" ht="30.75" customHeight="1" thickBot="1">
      <c r="A72" s="236" t="s">
        <v>163</v>
      </c>
      <c r="B72" s="193"/>
      <c r="C72" s="192" t="s">
        <v>288</v>
      </c>
      <c r="E72" s="89">
        <v>0.05</v>
      </c>
      <c r="G72" s="225">
        <f>7820+68493151</f>
        <v>68500971</v>
      </c>
      <c r="H72" s="71"/>
      <c r="I72" s="71">
        <v>0</v>
      </c>
      <c r="J72" s="71"/>
      <c r="K72" s="71">
        <f t="shared" ref="K72:K88" si="2">G72+I72</f>
        <v>68500971</v>
      </c>
      <c r="L72" s="71"/>
      <c r="M72" s="71">
        <f>247866+3226123943</f>
        <v>3226371809</v>
      </c>
      <c r="N72" s="71"/>
      <c r="O72" s="71">
        <v>0</v>
      </c>
      <c r="P72" s="71"/>
      <c r="Q72" s="71">
        <f t="shared" ref="Q72:Q88" si="3">M72+O72</f>
        <v>3226371809</v>
      </c>
    </row>
    <row r="73" spans="1:17" s="110" customFormat="1" ht="30.75" customHeight="1" thickBot="1">
      <c r="A73" s="236" t="s">
        <v>125</v>
      </c>
      <c r="B73" s="193"/>
      <c r="C73" s="192" t="s">
        <v>322</v>
      </c>
      <c r="E73" s="89">
        <v>0.05</v>
      </c>
      <c r="G73" s="225">
        <v>3402</v>
      </c>
      <c r="H73" s="71"/>
      <c r="I73" s="71">
        <v>0</v>
      </c>
      <c r="J73" s="71"/>
      <c r="K73" s="71">
        <f t="shared" si="2"/>
        <v>3402</v>
      </c>
      <c r="L73" s="71"/>
      <c r="M73" s="71">
        <v>15973</v>
      </c>
      <c r="N73" s="71"/>
      <c r="O73" s="71">
        <v>0</v>
      </c>
      <c r="P73" s="71"/>
      <c r="Q73" s="71">
        <f t="shared" si="3"/>
        <v>15973</v>
      </c>
    </row>
    <row r="74" spans="1:17" s="110" customFormat="1" ht="30.75" customHeight="1" thickBot="1">
      <c r="A74" s="236" t="s">
        <v>168</v>
      </c>
      <c r="B74" s="193"/>
      <c r="C74" s="192" t="s">
        <v>317</v>
      </c>
      <c r="E74" s="94" t="s">
        <v>91</v>
      </c>
      <c r="G74" s="80">
        <v>0</v>
      </c>
      <c r="H74" s="71"/>
      <c r="I74" s="71">
        <v>0</v>
      </c>
      <c r="J74" s="71"/>
      <c r="K74" s="71">
        <f t="shared" si="2"/>
        <v>0</v>
      </c>
      <c r="L74" s="71"/>
      <c r="M74" s="71">
        <v>920809462.92452824</v>
      </c>
      <c r="N74" s="71"/>
      <c r="O74" s="71">
        <v>0</v>
      </c>
      <c r="P74" s="71"/>
      <c r="Q74" s="71">
        <f t="shared" si="3"/>
        <v>920809462.92452824</v>
      </c>
    </row>
    <row r="75" spans="1:17" s="110" customFormat="1" ht="30.75" customHeight="1" thickBot="1">
      <c r="A75" s="236" t="s">
        <v>118</v>
      </c>
      <c r="B75" s="193"/>
      <c r="C75" s="192" t="s">
        <v>323</v>
      </c>
      <c r="E75" s="89">
        <v>0.05</v>
      </c>
      <c r="G75" s="225">
        <v>7035</v>
      </c>
      <c r="H75" s="71"/>
      <c r="I75" s="71">
        <v>0</v>
      </c>
      <c r="J75" s="71"/>
      <c r="K75" s="71">
        <f t="shared" si="2"/>
        <v>7035</v>
      </c>
      <c r="L75" s="71"/>
      <c r="M75" s="71">
        <f>23085+163699460</f>
        <v>163722545</v>
      </c>
      <c r="N75" s="71"/>
      <c r="O75" s="71">
        <v>0</v>
      </c>
      <c r="P75" s="71"/>
      <c r="Q75" s="71">
        <f t="shared" si="3"/>
        <v>163722545</v>
      </c>
    </row>
    <row r="76" spans="1:17" s="110" customFormat="1" ht="30.75" customHeight="1" thickBot="1">
      <c r="A76" s="236" t="s">
        <v>136</v>
      </c>
      <c r="B76" s="193"/>
      <c r="C76" s="192" t="s">
        <v>324</v>
      </c>
      <c r="E76" s="94">
        <v>0.22500000000000001</v>
      </c>
      <c r="G76" s="225">
        <v>0</v>
      </c>
      <c r="H76" s="71"/>
      <c r="I76" s="71">
        <v>0</v>
      </c>
      <c r="J76" s="71"/>
      <c r="K76" s="71">
        <f t="shared" si="2"/>
        <v>0</v>
      </c>
      <c r="L76" s="71"/>
      <c r="M76" s="71">
        <v>2648598906.8965516</v>
      </c>
      <c r="N76" s="71"/>
      <c r="O76" s="71">
        <v>0</v>
      </c>
      <c r="P76" s="71"/>
      <c r="Q76" s="71">
        <f t="shared" si="3"/>
        <v>2648598906.8965516</v>
      </c>
    </row>
    <row r="77" spans="1:17" s="110" customFormat="1" ht="30.75" customHeight="1" thickBot="1">
      <c r="A77" s="236" t="s">
        <v>138</v>
      </c>
      <c r="B77" s="193"/>
      <c r="C77" s="192" t="s">
        <v>324</v>
      </c>
      <c r="E77" s="94">
        <v>0.22500000000000001</v>
      </c>
      <c r="G77" s="225">
        <v>0</v>
      </c>
      <c r="H77" s="71"/>
      <c r="I77" s="71">
        <v>0</v>
      </c>
      <c r="J77" s="71"/>
      <c r="K77" s="71">
        <f t="shared" si="2"/>
        <v>0</v>
      </c>
      <c r="L77" s="71"/>
      <c r="M77" s="71">
        <v>3017000975</v>
      </c>
      <c r="N77" s="71"/>
      <c r="O77" s="71">
        <v>0</v>
      </c>
      <c r="P77" s="71"/>
      <c r="Q77" s="71">
        <f t="shared" si="3"/>
        <v>3017000975</v>
      </c>
    </row>
    <row r="78" spans="1:17" s="110" customFormat="1" ht="30.75" customHeight="1" thickBot="1">
      <c r="A78" s="236" t="s">
        <v>196</v>
      </c>
      <c r="B78" s="193"/>
      <c r="C78" s="192" t="s">
        <v>324</v>
      </c>
      <c r="E78" s="94">
        <v>0.22500000000000001</v>
      </c>
      <c r="G78" s="225">
        <v>0</v>
      </c>
      <c r="H78" s="71"/>
      <c r="I78" s="71">
        <v>0</v>
      </c>
      <c r="J78" s="71"/>
      <c r="K78" s="71">
        <f t="shared" si="2"/>
        <v>0</v>
      </c>
      <c r="L78" s="71"/>
      <c r="M78" s="71">
        <v>11249506845.420561</v>
      </c>
      <c r="N78" s="71"/>
      <c r="O78" s="71">
        <v>-17511753</v>
      </c>
      <c r="P78" s="71"/>
      <c r="Q78" s="71">
        <f t="shared" si="3"/>
        <v>11231995092.420561</v>
      </c>
    </row>
    <row r="79" spans="1:17" s="110" customFormat="1" ht="30.75" customHeight="1" thickBot="1">
      <c r="A79" s="236" t="s">
        <v>126</v>
      </c>
      <c r="B79" s="193"/>
      <c r="C79" s="192" t="s">
        <v>325</v>
      </c>
      <c r="E79" s="94">
        <v>0.22500000000000001</v>
      </c>
      <c r="G79" s="225">
        <v>0</v>
      </c>
      <c r="H79" s="71"/>
      <c r="I79" s="71">
        <v>0</v>
      </c>
      <c r="J79" s="71"/>
      <c r="K79" s="71">
        <f t="shared" si="2"/>
        <v>0</v>
      </c>
      <c r="L79" s="71"/>
      <c r="M79" s="71">
        <v>13592275.961538462</v>
      </c>
      <c r="N79" s="71"/>
      <c r="O79" s="71">
        <v>0</v>
      </c>
      <c r="P79" s="71"/>
      <c r="Q79" s="71">
        <f t="shared" si="3"/>
        <v>13592275.961538462</v>
      </c>
    </row>
    <row r="80" spans="1:17" s="110" customFormat="1" ht="30.75" customHeight="1" thickBot="1">
      <c r="A80" s="236" t="s">
        <v>124</v>
      </c>
      <c r="B80" s="193"/>
      <c r="C80" s="192" t="s">
        <v>325</v>
      </c>
      <c r="E80" s="94">
        <v>0.22500000000000001</v>
      </c>
      <c r="G80" s="225">
        <v>0</v>
      </c>
      <c r="H80" s="71"/>
      <c r="I80" s="71">
        <v>0</v>
      </c>
      <c r="J80" s="71"/>
      <c r="K80" s="71">
        <f t="shared" si="2"/>
        <v>0</v>
      </c>
      <c r="L80" s="71"/>
      <c r="M80" s="71">
        <v>10554357.980769232</v>
      </c>
      <c r="N80" s="71"/>
      <c r="O80" s="71">
        <v>0</v>
      </c>
      <c r="P80" s="71"/>
      <c r="Q80" s="71">
        <f t="shared" si="3"/>
        <v>10554357.980769232</v>
      </c>
    </row>
    <row r="81" spans="1:17" s="110" customFormat="1" ht="30.75" customHeight="1" thickBot="1">
      <c r="A81" s="236" t="s">
        <v>193</v>
      </c>
      <c r="B81" s="193"/>
      <c r="C81" s="192" t="s">
        <v>326</v>
      </c>
      <c r="E81" s="94">
        <v>0.22500000000000001</v>
      </c>
      <c r="G81" s="225">
        <v>0</v>
      </c>
      <c r="H81" s="71"/>
      <c r="I81" s="71">
        <v>0</v>
      </c>
      <c r="J81" s="71"/>
      <c r="K81" s="71">
        <f t="shared" si="2"/>
        <v>0</v>
      </c>
      <c r="L81" s="71"/>
      <c r="M81" s="71">
        <v>1134246556.2616823</v>
      </c>
      <c r="N81" s="71"/>
      <c r="O81" s="71">
        <v>-3807193</v>
      </c>
      <c r="P81" s="71"/>
      <c r="Q81" s="71">
        <f t="shared" si="3"/>
        <v>1130439363.2616823</v>
      </c>
    </row>
    <row r="82" spans="1:17" s="110" customFormat="1" ht="30.75" customHeight="1" thickBot="1">
      <c r="A82" s="236" t="s">
        <v>111</v>
      </c>
      <c r="B82" s="193"/>
      <c r="C82" s="192" t="s">
        <v>230</v>
      </c>
      <c r="E82" s="89">
        <v>0.05</v>
      </c>
      <c r="G82" s="225">
        <v>0</v>
      </c>
      <c r="H82" s="71"/>
      <c r="I82" s="71">
        <v>0</v>
      </c>
      <c r="J82" s="71"/>
      <c r="K82" s="71">
        <f t="shared" si="2"/>
        <v>0</v>
      </c>
      <c r="L82" s="71"/>
      <c r="M82" s="71">
        <f>12356+3249405544</f>
        <v>3249417900</v>
      </c>
      <c r="N82" s="71"/>
      <c r="O82" s="71">
        <v>0</v>
      </c>
      <c r="P82" s="71"/>
      <c r="Q82" s="71">
        <f t="shared" si="3"/>
        <v>3249417900</v>
      </c>
    </row>
    <row r="83" spans="1:17" s="110" customFormat="1" ht="30.75" customHeight="1" thickBot="1">
      <c r="A83" s="236" t="s">
        <v>119</v>
      </c>
      <c r="B83" s="193"/>
      <c r="C83" s="192" t="s">
        <v>316</v>
      </c>
      <c r="E83" s="89">
        <v>0.05</v>
      </c>
      <c r="G83" s="225">
        <v>2285</v>
      </c>
      <c r="H83" s="71"/>
      <c r="I83" s="71">
        <v>0</v>
      </c>
      <c r="J83" s="71"/>
      <c r="K83" s="71">
        <f t="shared" si="2"/>
        <v>2285</v>
      </c>
      <c r="L83" s="71"/>
      <c r="M83" s="71">
        <v>9333</v>
      </c>
      <c r="N83" s="71"/>
      <c r="O83" s="71">
        <v>0</v>
      </c>
      <c r="P83" s="71"/>
      <c r="Q83" s="71">
        <f t="shared" si="3"/>
        <v>9333</v>
      </c>
    </row>
    <row r="84" spans="1:17" s="110" customFormat="1" ht="30.75" customHeight="1" thickBot="1">
      <c r="A84" s="236" t="s">
        <v>143</v>
      </c>
      <c r="B84" s="193"/>
      <c r="C84" s="192" t="s">
        <v>327</v>
      </c>
      <c r="E84" s="94" t="s">
        <v>161</v>
      </c>
      <c r="G84" s="225">
        <v>6365210533</v>
      </c>
      <c r="H84" s="71"/>
      <c r="I84" s="71">
        <v>0</v>
      </c>
      <c r="J84" s="71"/>
      <c r="K84" s="71">
        <f t="shared" si="2"/>
        <v>6365210533</v>
      </c>
      <c r="L84" s="71"/>
      <c r="M84" s="71">
        <v>38098063699</v>
      </c>
      <c r="N84" s="71"/>
      <c r="O84" s="71">
        <v>0</v>
      </c>
      <c r="P84" s="71"/>
      <c r="Q84" s="71">
        <f t="shared" si="3"/>
        <v>38098063699</v>
      </c>
    </row>
    <row r="85" spans="1:17" s="110" customFormat="1" ht="30.75" customHeight="1" thickBot="1">
      <c r="A85" s="236" t="s">
        <v>157</v>
      </c>
      <c r="B85" s="193"/>
      <c r="C85" s="192" t="s">
        <v>328</v>
      </c>
      <c r="E85" s="89" t="s">
        <v>284</v>
      </c>
      <c r="G85" s="234">
        <v>6644543517</v>
      </c>
      <c r="H85" s="71"/>
      <c r="I85" s="71">
        <v>0</v>
      </c>
      <c r="J85" s="71"/>
      <c r="K85" s="71">
        <f t="shared" si="2"/>
        <v>6644543517</v>
      </c>
      <c r="L85" s="71"/>
      <c r="M85" s="71">
        <v>27042810639</v>
      </c>
      <c r="N85" s="71"/>
      <c r="O85" s="71">
        <v>0</v>
      </c>
      <c r="P85" s="71"/>
      <c r="Q85" s="71">
        <f t="shared" si="3"/>
        <v>27042810639</v>
      </c>
    </row>
    <row r="86" spans="1:17" s="110" customFormat="1" ht="30.75" customHeight="1">
      <c r="A86" s="236" t="s">
        <v>142</v>
      </c>
      <c r="B86" s="193"/>
      <c r="C86" s="192" t="s">
        <v>145</v>
      </c>
      <c r="E86" s="94" t="s">
        <v>160</v>
      </c>
      <c r="G86" s="80">
        <v>0</v>
      </c>
      <c r="H86" s="71"/>
      <c r="I86" s="71">
        <v>0</v>
      </c>
      <c r="J86" s="71"/>
      <c r="K86" s="71">
        <f t="shared" si="2"/>
        <v>0</v>
      </c>
      <c r="L86" s="71"/>
      <c r="M86" s="191">
        <v>760435788</v>
      </c>
      <c r="N86" s="71"/>
      <c r="O86" s="71">
        <v>0</v>
      </c>
      <c r="P86" s="71"/>
      <c r="Q86" s="71">
        <f t="shared" si="3"/>
        <v>760435788</v>
      </c>
    </row>
    <row r="87" spans="1:17" s="110" customFormat="1" ht="30.75" customHeight="1">
      <c r="A87" s="236" t="s">
        <v>120</v>
      </c>
      <c r="B87" s="193"/>
      <c r="C87" s="192" t="s">
        <v>329</v>
      </c>
      <c r="E87" s="94" t="s">
        <v>161</v>
      </c>
      <c r="G87" s="80">
        <v>5234908279</v>
      </c>
      <c r="H87" s="71"/>
      <c r="I87" s="71">
        <v>0</v>
      </c>
      <c r="J87" s="71"/>
      <c r="K87" s="71">
        <f t="shared" si="2"/>
        <v>5234908279</v>
      </c>
      <c r="L87" s="71"/>
      <c r="M87" s="191">
        <v>24873816520</v>
      </c>
      <c r="N87" s="71"/>
      <c r="O87" s="71">
        <v>0</v>
      </c>
      <c r="P87" s="71"/>
      <c r="Q87" s="71">
        <f t="shared" si="3"/>
        <v>24873816520</v>
      </c>
    </row>
    <row r="88" spans="1:17" s="110" customFormat="1" ht="30.75" customHeight="1">
      <c r="A88" s="236" t="s">
        <v>183</v>
      </c>
      <c r="B88" s="193"/>
      <c r="C88" s="192" t="s">
        <v>303</v>
      </c>
      <c r="E88" s="94" t="s">
        <v>285</v>
      </c>
      <c r="G88" s="80">
        <v>0</v>
      </c>
      <c r="H88" s="71"/>
      <c r="I88" s="71">
        <v>0</v>
      </c>
      <c r="J88" s="71"/>
      <c r="K88" s="71">
        <f t="shared" si="2"/>
        <v>0</v>
      </c>
      <c r="L88" s="71"/>
      <c r="M88" s="191">
        <v>8269843927</v>
      </c>
      <c r="N88" s="71"/>
      <c r="O88" s="71">
        <v>0</v>
      </c>
      <c r="P88" s="71"/>
      <c r="Q88" s="71">
        <f t="shared" si="3"/>
        <v>8269843927</v>
      </c>
    </row>
    <row r="89" spans="1:17" s="110" customFormat="1" ht="30.75" customHeight="1" thickBot="1">
      <c r="A89" s="236" t="s">
        <v>2</v>
      </c>
      <c r="B89" s="193"/>
      <c r="C89" s="192"/>
      <c r="E89" s="89"/>
      <c r="F89" s="102">
        <f t="shared" ref="F89:P89" si="4">SUM(F7:F88)</f>
        <v>0</v>
      </c>
      <c r="G89" s="102">
        <f>SUM(G7:G88)</f>
        <v>53450674845.841286</v>
      </c>
      <c r="H89" s="102">
        <f t="shared" si="4"/>
        <v>0</v>
      </c>
      <c r="I89" s="102">
        <f>SUM(I7:I88)</f>
        <v>-276755839</v>
      </c>
      <c r="J89" s="102">
        <f t="shared" si="4"/>
        <v>0</v>
      </c>
      <c r="K89" s="102">
        <f>SUM(K7:K88)</f>
        <v>53173919006.841286</v>
      </c>
      <c r="L89" s="102">
        <f t="shared" si="4"/>
        <v>0</v>
      </c>
      <c r="M89" s="102">
        <f>SUM(M7:M88)</f>
        <v>236764949087.87863</v>
      </c>
      <c r="N89" s="102">
        <f t="shared" si="4"/>
        <v>0</v>
      </c>
      <c r="O89" s="102">
        <f>SUM(O7:O88)</f>
        <v>-376881958</v>
      </c>
      <c r="P89" s="102">
        <f t="shared" si="4"/>
        <v>0</v>
      </c>
      <c r="Q89" s="102">
        <f>SUM(Q7:Q88)</f>
        <v>236388067129.87863</v>
      </c>
    </row>
    <row r="90" spans="1:17" ht="30.75" customHeight="1" thickTop="1"/>
  </sheetData>
  <autoFilter ref="A6:Q88" xr:uid="{00000000-0009-0000-0000-000006000000}">
    <sortState xmlns:xlrd2="http://schemas.microsoft.com/office/spreadsheetml/2017/richdata2" ref="A7:Q88">
      <sortCondition descending="1" ref="A6:A88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honeticPr fontId="54" type="noConversion"/>
  <conditionalFormatting sqref="A12">
    <cfRule type="duplicateValues" dxfId="2" priority="1"/>
  </conditionalFormatting>
  <printOptions horizontalCentered="1"/>
  <pageMargins left="0.25" right="0.25" top="0.75" bottom="0.75" header="0.3" footer="0.3"/>
  <pageSetup paperSize="9" scale="4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Q15"/>
  <sheetViews>
    <sheetView rightToLeft="1" view="pageBreakPreview" topLeftCell="A10" zoomScaleNormal="100" zoomScaleSheetLayoutView="100" workbookViewId="0">
      <selection activeCell="A8" sqref="A8"/>
    </sheetView>
  </sheetViews>
  <sheetFormatPr defaultColWidth="9.140625" defaultRowHeight="17.25"/>
  <cols>
    <col min="1" max="1" width="39" style="7" customWidth="1"/>
    <col min="2" max="2" width="1.28515625" style="7" customWidth="1"/>
    <col min="3" max="3" width="9.85546875" style="7" hidden="1" customWidth="1"/>
    <col min="4" max="4" width="0.85546875" style="7" hidden="1" customWidth="1"/>
    <col min="5" max="5" width="21.85546875" style="81" hidden="1" customWidth="1"/>
    <col min="6" max="6" width="0.5703125" style="81" hidden="1" customWidth="1"/>
    <col min="7" max="7" width="23.28515625" style="81" hidden="1" customWidth="1"/>
    <col min="8" max="8" width="0.85546875" style="81" hidden="1" customWidth="1"/>
    <col min="9" max="9" width="21" style="82" hidden="1" customWidth="1"/>
    <col min="10" max="10" width="0.5703125" style="82" customWidth="1"/>
    <col min="11" max="11" width="11.7109375" style="82" customWidth="1"/>
    <col min="12" max="12" width="0.42578125" style="82" customWidth="1"/>
    <col min="13" max="13" width="22.28515625" style="82" customWidth="1"/>
    <col min="14" max="14" width="0.42578125" style="82" customWidth="1"/>
    <col min="15" max="15" width="22.42578125" style="82" customWidth="1"/>
    <col min="16" max="16" width="0.5703125" style="82" customWidth="1"/>
    <col min="17" max="17" width="21.85546875" style="82" customWidth="1"/>
    <col min="18" max="16384" width="9.140625" style="7"/>
  </cols>
  <sheetData>
    <row r="1" spans="1:17" ht="22.5">
      <c r="A1" s="326" t="s">
        <v>89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</row>
    <row r="2" spans="1:17" ht="22.5">
      <c r="A2" s="326" t="s">
        <v>56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22.5">
      <c r="A3" s="326" t="str">
        <f>' سهام'!A3:W3</f>
        <v>برای ماه منتهی به 1403/01/31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</row>
    <row r="4" spans="1:17" ht="22.5">
      <c r="A4" s="327" t="s">
        <v>63</v>
      </c>
      <c r="B4" s="327"/>
      <c r="C4" s="327"/>
      <c r="D4" s="327"/>
      <c r="E4" s="327"/>
      <c r="F4" s="327"/>
      <c r="G4" s="327"/>
      <c r="H4" s="327"/>
      <c r="I4" s="327"/>
      <c r="J4" s="336"/>
      <c r="K4" s="336"/>
      <c r="L4" s="336"/>
      <c r="M4" s="336"/>
      <c r="N4" s="336"/>
      <c r="O4" s="336"/>
      <c r="P4" s="336"/>
      <c r="Q4" s="336"/>
    </row>
    <row r="5" spans="1:17" ht="15.75" customHeight="1" thickBot="1">
      <c r="A5" s="110"/>
      <c r="B5" s="110"/>
      <c r="C5" s="334" t="s">
        <v>289</v>
      </c>
      <c r="D5" s="334"/>
      <c r="E5" s="334"/>
      <c r="F5" s="334"/>
      <c r="G5" s="334"/>
      <c r="H5" s="334"/>
      <c r="I5" s="334"/>
      <c r="J5" s="12"/>
      <c r="K5" s="335" t="s">
        <v>290</v>
      </c>
      <c r="L5" s="335"/>
      <c r="M5" s="335"/>
      <c r="N5" s="335"/>
      <c r="O5" s="335"/>
      <c r="P5" s="335"/>
      <c r="Q5" s="335"/>
    </row>
    <row r="6" spans="1:17" ht="22.5" thickBot="1">
      <c r="A6" s="219" t="s">
        <v>38</v>
      </c>
      <c r="B6" s="219"/>
      <c r="C6" s="220" t="s">
        <v>3</v>
      </c>
      <c r="D6" s="219"/>
      <c r="E6" s="221" t="s">
        <v>45</v>
      </c>
      <c r="F6" s="78"/>
      <c r="G6" s="222" t="s">
        <v>42</v>
      </c>
      <c r="H6" s="78"/>
      <c r="I6" s="88" t="s">
        <v>46</v>
      </c>
      <c r="J6" s="12"/>
      <c r="K6" s="87" t="s">
        <v>3</v>
      </c>
      <c r="L6" s="79"/>
      <c r="M6" s="88" t="s">
        <v>21</v>
      </c>
      <c r="N6" s="79"/>
      <c r="O6" s="87" t="s">
        <v>42</v>
      </c>
      <c r="P6" s="79"/>
      <c r="Q6" s="223" t="s">
        <v>46</v>
      </c>
    </row>
    <row r="7" spans="1:17" ht="21.75">
      <c r="A7" s="219" t="s">
        <v>142</v>
      </c>
      <c r="B7" s="219"/>
      <c r="C7" s="218">
        <v>0</v>
      </c>
      <c r="D7" s="219"/>
      <c r="E7" s="237">
        <v>0</v>
      </c>
      <c r="F7" s="78"/>
      <c r="G7" s="238">
        <v>0</v>
      </c>
      <c r="H7" s="78"/>
      <c r="I7" s="71">
        <f t="shared" ref="I7:I10" si="0">E7+G7</f>
        <v>0</v>
      </c>
      <c r="J7" s="12"/>
      <c r="K7" s="90">
        <v>198700</v>
      </c>
      <c r="L7" s="79"/>
      <c r="M7" s="80">
        <v>192395802792</v>
      </c>
      <c r="N7" s="80"/>
      <c r="O7" s="80">
        <v>-192519188132</v>
      </c>
      <c r="P7" s="239"/>
      <c r="Q7" s="71">
        <f>M7+O7</f>
        <v>-123385340</v>
      </c>
    </row>
    <row r="8" spans="1:17" ht="21.75">
      <c r="A8" s="219" t="s">
        <v>157</v>
      </c>
      <c r="B8" s="219"/>
      <c r="C8" s="218">
        <v>0</v>
      </c>
      <c r="D8" s="219"/>
      <c r="E8" s="237">
        <v>0</v>
      </c>
      <c r="F8" s="78"/>
      <c r="G8" s="238">
        <v>0</v>
      </c>
      <c r="H8" s="78"/>
      <c r="I8" s="71">
        <f t="shared" si="0"/>
        <v>0</v>
      </c>
      <c r="J8" s="12"/>
      <c r="K8" s="90">
        <v>150000</v>
      </c>
      <c r="L8" s="79"/>
      <c r="M8" s="80">
        <v>152303492193</v>
      </c>
      <c r="N8" s="80"/>
      <c r="O8" s="80">
        <v>-153313937318</v>
      </c>
      <c r="P8" s="239"/>
      <c r="Q8" s="71">
        <f t="shared" ref="Q8:Q10" si="1">M8+O8</f>
        <v>-1010445125</v>
      </c>
    </row>
    <row r="9" spans="1:17" ht="21.75">
      <c r="A9" s="219" t="s">
        <v>183</v>
      </c>
      <c r="B9" s="219"/>
      <c r="C9" s="218">
        <v>0</v>
      </c>
      <c r="D9" s="219"/>
      <c r="E9" s="237">
        <v>0</v>
      </c>
      <c r="F9" s="78"/>
      <c r="G9" s="238">
        <v>0</v>
      </c>
      <c r="H9" s="78"/>
      <c r="I9" s="71">
        <f t="shared" si="0"/>
        <v>0</v>
      </c>
      <c r="J9" s="12"/>
      <c r="K9" s="90">
        <v>380000</v>
      </c>
      <c r="L9" s="79"/>
      <c r="M9" s="80">
        <v>409299670616</v>
      </c>
      <c r="N9" s="80"/>
      <c r="O9" s="80">
        <v>-409377670616</v>
      </c>
      <c r="P9" s="239"/>
      <c r="Q9" s="71">
        <f t="shared" si="1"/>
        <v>-78000000</v>
      </c>
    </row>
    <row r="10" spans="1:17" ht="21.75">
      <c r="A10" s="219" t="s">
        <v>120</v>
      </c>
      <c r="B10" s="219"/>
      <c r="C10" s="218">
        <v>0</v>
      </c>
      <c r="D10" s="219"/>
      <c r="E10" s="237">
        <v>0</v>
      </c>
      <c r="F10" s="78"/>
      <c r="G10" s="238">
        <v>0</v>
      </c>
      <c r="H10" s="78"/>
      <c r="I10" s="71">
        <f t="shared" si="0"/>
        <v>0</v>
      </c>
      <c r="J10" s="12"/>
      <c r="K10" s="90">
        <v>155000</v>
      </c>
      <c r="L10" s="79"/>
      <c r="M10" s="80">
        <v>150667537709</v>
      </c>
      <c r="N10" s="80"/>
      <c r="O10" s="80">
        <v>-146791460053</v>
      </c>
      <c r="P10" s="239"/>
      <c r="Q10" s="71">
        <f t="shared" si="1"/>
        <v>3876077656</v>
      </c>
    </row>
    <row r="11" spans="1:17" ht="21.75">
      <c r="A11" s="219" t="s">
        <v>143</v>
      </c>
      <c r="B11" s="219"/>
      <c r="C11" s="218">
        <v>723000</v>
      </c>
      <c r="D11" s="219"/>
      <c r="E11" s="237">
        <v>771577949994</v>
      </c>
      <c r="F11" s="78"/>
      <c r="G11" s="238">
        <v>-751741083705</v>
      </c>
      <c r="H11" s="78"/>
      <c r="I11" s="71">
        <f>E11+G11</f>
        <v>19836866289</v>
      </c>
      <c r="J11" s="12"/>
      <c r="K11" s="90">
        <v>723000</v>
      </c>
      <c r="L11" s="79"/>
      <c r="M11" s="80">
        <v>771577949994</v>
      </c>
      <c r="N11" s="80"/>
      <c r="O11" s="80">
        <v>-751741083705</v>
      </c>
      <c r="P11" s="239"/>
      <c r="Q11" s="71">
        <f>M11+O11</f>
        <v>19836866289</v>
      </c>
    </row>
    <row r="12" spans="1:17" ht="23.25" thickBot="1">
      <c r="C12" s="257"/>
      <c r="D12" s="258"/>
      <c r="E12" s="259">
        <f>SUM(E7:E11)</f>
        <v>771577949994</v>
      </c>
      <c r="F12" s="7"/>
      <c r="G12" s="229">
        <f>SUM(G7:G11)</f>
        <v>-751741083705</v>
      </c>
      <c r="H12" s="7"/>
      <c r="I12" s="259">
        <f>SUM(I7:I11)</f>
        <v>19836866289</v>
      </c>
      <c r="J12" s="7"/>
      <c r="K12" s="267"/>
      <c r="L12" s="7"/>
      <c r="M12" s="240">
        <f>SUM(M7:M11)</f>
        <v>1676244453304</v>
      </c>
      <c r="N12" s="7"/>
      <c r="O12" s="240">
        <f>SUM(O7:O11)</f>
        <v>-1653743339824</v>
      </c>
      <c r="P12" s="7"/>
      <c r="Q12" s="240">
        <f>SUM(Q7:Q11)</f>
        <v>22501113480</v>
      </c>
    </row>
    <row r="13" spans="1:17" ht="10.5" customHeight="1" thickTop="1">
      <c r="A13" s="110"/>
      <c r="B13" s="110"/>
      <c r="C13" s="110"/>
      <c r="D13" s="110"/>
      <c r="E13" s="72"/>
      <c r="F13" s="72"/>
      <c r="G13" s="72"/>
      <c r="H13" s="7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21.75">
      <c r="A14" s="331" t="s">
        <v>44</v>
      </c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3"/>
    </row>
    <row r="15" spans="1:17" ht="6" customHeight="1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</sheetData>
  <autoFilter ref="A6:Q6" xr:uid="{00000000-0009-0000-0000-000008000000}">
    <sortState xmlns:xlrd2="http://schemas.microsoft.com/office/spreadsheetml/2017/richdata2" ref="A7:Q39">
      <sortCondition descending="1" ref="Q6"/>
    </sortState>
  </autoFilter>
  <mergeCells count="8">
    <mergeCell ref="A1:Q1"/>
    <mergeCell ref="A2:Q2"/>
    <mergeCell ref="A3:Q3"/>
    <mergeCell ref="A14:Q14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Q15"/>
  <sheetViews>
    <sheetView rightToLeft="1" view="pageBreakPreview" zoomScaleNormal="100" zoomScaleSheetLayoutView="100" workbookViewId="0">
      <selection activeCell="A9" sqref="A9"/>
    </sheetView>
  </sheetViews>
  <sheetFormatPr defaultColWidth="9.140625" defaultRowHeight="21.75"/>
  <cols>
    <col min="1" max="1" width="33.5703125" style="7" customWidth="1"/>
    <col min="2" max="2" width="0.5703125" style="7" customWidth="1"/>
    <col min="3" max="3" width="13.5703125" style="12" customWidth="1"/>
    <col min="4" max="4" width="0.85546875" style="12" customWidth="1"/>
    <col min="5" max="5" width="21.140625" style="12" customWidth="1"/>
    <col min="6" max="6" width="0.85546875" style="12" customWidth="1"/>
    <col min="7" max="7" width="26" style="12" customWidth="1"/>
    <col min="8" max="8" width="0.7109375" style="12" customWidth="1"/>
    <col min="9" max="9" width="28.28515625" style="12" customWidth="1"/>
    <col min="10" max="10" width="1.42578125" style="12" customWidth="1"/>
    <col min="11" max="11" width="12.42578125" style="12" customWidth="1"/>
    <col min="12" max="12" width="1.140625" style="12" customWidth="1"/>
    <col min="13" max="13" width="21" style="12" customWidth="1"/>
    <col min="14" max="14" width="1" style="12" customWidth="1"/>
    <col min="15" max="15" width="23.85546875" style="12" customWidth="1"/>
    <col min="16" max="16" width="1.140625" style="12" customWidth="1"/>
    <col min="17" max="17" width="21.5703125" style="12" customWidth="1"/>
    <col min="18" max="16384" width="9.140625" style="7"/>
  </cols>
  <sheetData>
    <row r="1" spans="1:17" ht="22.5">
      <c r="A1" s="326" t="s">
        <v>89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</row>
    <row r="2" spans="1:17" ht="22.5">
      <c r="A2" s="326" t="s">
        <v>56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22.5">
      <c r="A3" s="326" t="str">
        <f>' سهام'!A3:W3</f>
        <v>برای ماه منتهی به 1403/01/31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</row>
    <row r="4" spans="1:17">
      <c r="A4" s="309" t="s">
        <v>62</v>
      </c>
      <c r="B4" s="309"/>
      <c r="C4" s="309"/>
      <c r="D4" s="309"/>
      <c r="E4" s="309"/>
      <c r="F4" s="309"/>
      <c r="G4" s="309"/>
      <c r="H4" s="309"/>
    </row>
    <row r="5" spans="1:17" s="194" customFormat="1" ht="16.5" customHeight="1" thickBot="1">
      <c r="A5" s="164"/>
      <c r="B5" s="164"/>
      <c r="C5" s="340" t="s">
        <v>289</v>
      </c>
      <c r="D5" s="340"/>
      <c r="E5" s="340"/>
      <c r="F5" s="340"/>
      <c r="G5" s="340"/>
      <c r="H5" s="340"/>
      <c r="I5" s="340"/>
      <c r="J5" s="79"/>
      <c r="K5" s="335" t="s">
        <v>290</v>
      </c>
      <c r="L5" s="335"/>
      <c r="M5" s="335"/>
      <c r="N5" s="335"/>
      <c r="O5" s="335"/>
      <c r="P5" s="335"/>
      <c r="Q5" s="335"/>
    </row>
    <row r="6" spans="1:17" s="194" customFormat="1" ht="27" customHeight="1" thickBot="1">
      <c r="A6" s="164" t="s">
        <v>38</v>
      </c>
      <c r="B6" s="164"/>
      <c r="C6" s="87" t="s">
        <v>3</v>
      </c>
      <c r="D6" s="79"/>
      <c r="E6" s="88" t="s">
        <v>21</v>
      </c>
      <c r="F6" s="79"/>
      <c r="G6" s="87" t="s">
        <v>42</v>
      </c>
      <c r="H6" s="79"/>
      <c r="I6" s="88" t="s">
        <v>43</v>
      </c>
      <c r="J6" s="79"/>
      <c r="K6" s="87" t="s">
        <v>3</v>
      </c>
      <c r="L6" s="79"/>
      <c r="M6" s="88" t="s">
        <v>21</v>
      </c>
      <c r="N6" s="79"/>
      <c r="O6" s="87" t="s">
        <v>42</v>
      </c>
      <c r="P6" s="79"/>
      <c r="Q6" s="242" t="s">
        <v>43</v>
      </c>
    </row>
    <row r="7" spans="1:17" s="194" customFormat="1" ht="27" customHeight="1">
      <c r="A7" s="164" t="s">
        <v>120</v>
      </c>
      <c r="B7" s="164"/>
      <c r="C7" s="90">
        <v>345000</v>
      </c>
      <c r="D7" s="79"/>
      <c r="E7" s="106">
        <v>344934019377</v>
      </c>
      <c r="F7" s="79"/>
      <c r="G7" s="90">
        <v>-344934019377</v>
      </c>
      <c r="H7" s="79"/>
      <c r="I7" s="106">
        <f>E7+G7</f>
        <v>0</v>
      </c>
      <c r="J7" s="79"/>
      <c r="K7" s="90">
        <v>345000</v>
      </c>
      <c r="L7" s="106"/>
      <c r="M7" s="91">
        <v>344934019377</v>
      </c>
      <c r="N7" s="91"/>
      <c r="O7" s="91">
        <v>-319757033531</v>
      </c>
      <c r="P7" s="106"/>
      <c r="Q7" s="235">
        <f>M7+O7</f>
        <v>25176985846</v>
      </c>
    </row>
    <row r="8" spans="1:17" s="194" customFormat="1" ht="27" customHeight="1">
      <c r="A8" s="164" t="s">
        <v>231</v>
      </c>
      <c r="B8" s="164"/>
      <c r="C8" s="90">
        <v>327000</v>
      </c>
      <c r="D8" s="79"/>
      <c r="E8" s="106">
        <v>279697795586</v>
      </c>
      <c r="F8" s="79"/>
      <c r="G8" s="90">
        <v>-271355248946</v>
      </c>
      <c r="H8" s="79"/>
      <c r="I8" s="91">
        <f t="shared" ref="I8:I12" si="0">E8+G8</f>
        <v>8342546640</v>
      </c>
      <c r="J8" s="79"/>
      <c r="K8" s="90">
        <v>327000</v>
      </c>
      <c r="L8" s="106"/>
      <c r="M8" s="91">
        <v>279697795586</v>
      </c>
      <c r="N8" s="91"/>
      <c r="O8" s="91">
        <v>-266780754218</v>
      </c>
      <c r="P8" s="106"/>
      <c r="Q8" s="235">
        <f t="shared" ref="Q8:Q12" si="1">M8+O8</f>
        <v>12917041368</v>
      </c>
    </row>
    <row r="9" spans="1:17" s="194" customFormat="1" ht="27" customHeight="1">
      <c r="A9" s="164" t="s">
        <v>143</v>
      </c>
      <c r="B9" s="164"/>
      <c r="C9" s="90">
        <v>0</v>
      </c>
      <c r="D9" s="79"/>
      <c r="E9" s="106">
        <v>0</v>
      </c>
      <c r="F9" s="79"/>
      <c r="G9" s="90">
        <v>-16339729886</v>
      </c>
      <c r="H9" s="79"/>
      <c r="I9" s="91">
        <f t="shared" si="0"/>
        <v>-16339729886</v>
      </c>
      <c r="J9" s="79"/>
      <c r="K9" s="106">
        <v>0</v>
      </c>
      <c r="L9" s="106"/>
      <c r="M9" s="106">
        <v>0</v>
      </c>
      <c r="N9" s="91"/>
      <c r="O9" s="106">
        <v>0</v>
      </c>
      <c r="P9" s="106"/>
      <c r="Q9" s="106">
        <f t="shared" si="1"/>
        <v>0</v>
      </c>
    </row>
    <row r="10" spans="1:17" s="194" customFormat="1" ht="27" customHeight="1">
      <c r="A10" s="164" t="s">
        <v>182</v>
      </c>
      <c r="B10" s="164"/>
      <c r="C10" s="90">
        <v>32000</v>
      </c>
      <c r="D10" s="79"/>
      <c r="E10" s="106">
        <v>21180160400</v>
      </c>
      <c r="F10" s="79"/>
      <c r="G10" s="90">
        <v>-19971067589</v>
      </c>
      <c r="H10" s="79"/>
      <c r="I10" s="91">
        <f t="shared" si="0"/>
        <v>1209092811</v>
      </c>
      <c r="J10" s="79"/>
      <c r="K10" s="90">
        <v>32000</v>
      </c>
      <c r="L10" s="106"/>
      <c r="M10" s="91">
        <v>21180160400</v>
      </c>
      <c r="N10" s="91"/>
      <c r="O10" s="91">
        <v>-19769911643</v>
      </c>
      <c r="P10" s="106"/>
      <c r="Q10" s="235">
        <f t="shared" si="1"/>
        <v>1410248757</v>
      </c>
    </row>
    <row r="11" spans="1:17" s="194" customFormat="1" ht="27" customHeight="1">
      <c r="A11" s="164" t="s">
        <v>232</v>
      </c>
      <c r="B11" s="164"/>
      <c r="C11" s="90">
        <v>460000</v>
      </c>
      <c r="D11" s="79"/>
      <c r="E11" s="106">
        <v>317618421225</v>
      </c>
      <c r="F11" s="79"/>
      <c r="G11" s="90">
        <v>-300087779231</v>
      </c>
      <c r="H11" s="79"/>
      <c r="I11" s="91">
        <f t="shared" si="0"/>
        <v>17530641994</v>
      </c>
      <c r="J11" s="79"/>
      <c r="K11" s="90">
        <v>460000</v>
      </c>
      <c r="L11" s="79"/>
      <c r="M11" s="91">
        <v>317618421225</v>
      </c>
      <c r="N11" s="79"/>
      <c r="O11" s="91">
        <v>-299736973235</v>
      </c>
      <c r="P11" s="79"/>
      <c r="Q11" s="235">
        <f t="shared" si="1"/>
        <v>17881447990</v>
      </c>
    </row>
    <row r="12" spans="1:17" s="194" customFormat="1" ht="27" customHeight="1">
      <c r="A12" s="164" t="s">
        <v>157</v>
      </c>
      <c r="B12" s="164"/>
      <c r="C12" s="90">
        <v>355000</v>
      </c>
      <c r="D12" s="79"/>
      <c r="E12" s="106">
        <v>340738230000</v>
      </c>
      <c r="F12" s="79"/>
      <c r="G12" s="90">
        <v>-348103144869</v>
      </c>
      <c r="H12" s="79"/>
      <c r="I12" s="91">
        <f t="shared" si="0"/>
        <v>-7364914869</v>
      </c>
      <c r="J12" s="79"/>
      <c r="K12" s="90">
        <v>355000</v>
      </c>
      <c r="L12" s="79"/>
      <c r="M12" s="91">
        <v>340738230000</v>
      </c>
      <c r="N12" s="79"/>
      <c r="O12" s="90">
        <v>-347411020338</v>
      </c>
      <c r="P12" s="79"/>
      <c r="Q12" s="235">
        <f t="shared" si="1"/>
        <v>-6672790338</v>
      </c>
    </row>
    <row r="13" spans="1:17" s="194" customFormat="1" ht="23.25" thickBot="1">
      <c r="A13" s="164" t="s">
        <v>2</v>
      </c>
      <c r="B13" s="164"/>
      <c r="C13" s="268"/>
      <c r="D13" s="164"/>
      <c r="E13" s="269">
        <f>SUM(E7:E12)</f>
        <v>1304168626588</v>
      </c>
      <c r="F13" s="108"/>
      <c r="G13" s="230">
        <f>SUM(G7:G12)</f>
        <v>-1300790989898</v>
      </c>
      <c r="H13" s="108"/>
      <c r="I13" s="230">
        <f>SUM(I7:I12)</f>
        <v>3377636690</v>
      </c>
      <c r="J13" s="108"/>
      <c r="K13" s="268"/>
      <c r="L13" s="108"/>
      <c r="M13" s="269">
        <f>SUM(M7:M12)</f>
        <v>1304168626588</v>
      </c>
      <c r="N13" s="108"/>
      <c r="O13" s="250">
        <f>SUM(O7:O12)</f>
        <v>-1253455692965</v>
      </c>
      <c r="P13" s="108"/>
      <c r="Q13" s="230">
        <f>SUM(Q7:Q12)</f>
        <v>50712933623</v>
      </c>
    </row>
    <row r="14" spans="1:17" s="194" customFormat="1" ht="22.5" thickTop="1">
      <c r="A14" s="164"/>
      <c r="B14" s="164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17" s="194" customFormat="1" ht="24.75" customHeight="1">
      <c r="A15" s="337" t="s">
        <v>44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9"/>
    </row>
  </sheetData>
  <autoFilter ref="A6:Q6" xr:uid="{00000000-0009-0000-0000-000009000000}">
    <sortState xmlns:xlrd2="http://schemas.microsoft.com/office/spreadsheetml/2017/richdata2" ref="A7:Q24">
      <sortCondition descending="1" ref="Q6"/>
    </sortState>
  </autoFilter>
  <mergeCells count="7">
    <mergeCell ref="A15:Q15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U20"/>
  <sheetViews>
    <sheetView rightToLeft="1" view="pageBreakPreview" zoomScale="40" zoomScaleNormal="100" zoomScaleSheetLayoutView="40" workbookViewId="0">
      <selection activeCell="A6" sqref="A6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48" t="s">
        <v>89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</row>
    <row r="2" spans="1:21" ht="27.75">
      <c r="A2" s="348" t="s">
        <v>56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</row>
    <row r="3" spans="1:21" ht="27.75">
      <c r="A3" s="348" t="str">
        <f>' سهام'!A3:W3</f>
        <v>برای ماه منتهی به 1403/01/31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</row>
    <row r="5" spans="1:21" s="39" customFormat="1" ht="24.75">
      <c r="A5" s="303" t="s">
        <v>28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41" t="s">
        <v>289</v>
      </c>
      <c r="D7" s="341"/>
      <c r="E7" s="341"/>
      <c r="F7" s="341"/>
      <c r="G7" s="341"/>
      <c r="H7" s="341"/>
      <c r="I7" s="341"/>
      <c r="J7" s="341"/>
      <c r="K7" s="341"/>
      <c r="L7" s="9"/>
      <c r="M7" s="341" t="s">
        <v>290</v>
      </c>
      <c r="N7" s="341"/>
      <c r="O7" s="341"/>
      <c r="P7" s="341"/>
      <c r="Q7" s="341"/>
      <c r="R7" s="341"/>
      <c r="S7" s="341"/>
      <c r="T7" s="341"/>
      <c r="U7" s="341"/>
    </row>
    <row r="8" spans="1:21" s="19" customFormat="1" ht="24.75" customHeight="1">
      <c r="A8" s="342" t="s">
        <v>24</v>
      </c>
      <c r="B8" s="342"/>
      <c r="C8" s="349" t="s">
        <v>12</v>
      </c>
      <c r="D8" s="344"/>
      <c r="E8" s="351" t="s">
        <v>13</v>
      </c>
      <c r="F8" s="345"/>
      <c r="G8" s="351" t="s">
        <v>14</v>
      </c>
      <c r="H8" s="357"/>
      <c r="I8" s="353" t="s">
        <v>2</v>
      </c>
      <c r="J8" s="353"/>
      <c r="K8" s="353"/>
      <c r="L8" s="342"/>
      <c r="M8" s="349" t="s">
        <v>12</v>
      </c>
      <c r="N8" s="354"/>
      <c r="O8" s="351" t="s">
        <v>13</v>
      </c>
      <c r="P8" s="345"/>
      <c r="Q8" s="351" t="s">
        <v>14</v>
      </c>
      <c r="R8" s="345"/>
      <c r="S8" s="353" t="s">
        <v>2</v>
      </c>
      <c r="T8" s="353"/>
      <c r="U8" s="353"/>
    </row>
    <row r="9" spans="1:21" s="19" customFormat="1" ht="6" customHeight="1" thickBot="1">
      <c r="A9" s="342"/>
      <c r="B9" s="342"/>
      <c r="C9" s="350"/>
      <c r="D9" s="342"/>
      <c r="E9" s="352"/>
      <c r="F9" s="346"/>
      <c r="G9" s="352"/>
      <c r="H9" s="358"/>
      <c r="I9" s="341"/>
      <c r="J9" s="341"/>
      <c r="K9" s="341"/>
      <c r="L9" s="342"/>
      <c r="M9" s="350"/>
      <c r="N9" s="355"/>
      <c r="O9" s="352"/>
      <c r="P9" s="346"/>
      <c r="Q9" s="352"/>
      <c r="R9" s="346"/>
      <c r="S9" s="341"/>
      <c r="T9" s="341"/>
      <c r="U9" s="341"/>
    </row>
    <row r="10" spans="1:21" s="19" customFormat="1" ht="42.75" customHeight="1" thickBot="1">
      <c r="A10" s="343"/>
      <c r="B10" s="342"/>
      <c r="C10" s="50" t="s">
        <v>59</v>
      </c>
      <c r="D10" s="342"/>
      <c r="E10" s="51" t="s">
        <v>60</v>
      </c>
      <c r="F10" s="347"/>
      <c r="G10" s="51" t="s">
        <v>61</v>
      </c>
      <c r="H10" s="358"/>
      <c r="I10" s="10" t="s">
        <v>6</v>
      </c>
      <c r="J10" s="10"/>
      <c r="K10" s="49" t="s">
        <v>19</v>
      </c>
      <c r="L10" s="342"/>
      <c r="M10" s="50" t="s">
        <v>59</v>
      </c>
      <c r="N10" s="356"/>
      <c r="O10" s="51" t="s">
        <v>60</v>
      </c>
      <c r="P10" s="347"/>
      <c r="Q10" s="51" t="s">
        <v>61</v>
      </c>
      <c r="R10" s="347"/>
      <c r="S10" s="11" t="s">
        <v>6</v>
      </c>
      <c r="T10" s="11"/>
      <c r="U10" s="49" t="s">
        <v>19</v>
      </c>
    </row>
    <row r="11" spans="1:21" s="20" customFormat="1" ht="30.75">
      <c r="A11" s="61" t="s">
        <v>92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Q19"/>
  <sheetViews>
    <sheetView rightToLeft="1" view="pageBreakPreview" zoomScale="85" zoomScaleNormal="100" zoomScaleSheetLayoutView="85" workbookViewId="0">
      <selection activeCell="E12" sqref="E12"/>
    </sheetView>
  </sheetViews>
  <sheetFormatPr defaultColWidth="9.140625" defaultRowHeight="21.75"/>
  <cols>
    <col min="1" max="1" width="34.42578125" style="110" bestFit="1" customWidth="1"/>
    <col min="2" max="2" width="0.42578125" style="110" customWidth="1"/>
    <col min="3" max="3" width="21.140625" style="110" bestFit="1" customWidth="1"/>
    <col min="4" max="4" width="0.7109375" style="110" customWidth="1"/>
    <col min="5" max="5" width="18.140625" style="110" customWidth="1"/>
    <col min="6" max="6" width="0.5703125" style="110" customWidth="1"/>
    <col min="7" max="7" width="18.85546875" style="110" customWidth="1"/>
    <col min="8" max="8" width="0.5703125" style="110" customWidth="1"/>
    <col min="9" max="9" width="22.85546875" style="110" bestFit="1" customWidth="1"/>
    <col min="10" max="10" width="0.42578125" style="110" customWidth="1"/>
    <col min="11" max="11" width="22.85546875" style="110" bestFit="1" customWidth="1"/>
    <col min="12" max="12" width="0.5703125" style="110" customWidth="1"/>
    <col min="13" max="13" width="21.140625" style="110" bestFit="1" customWidth="1"/>
    <col min="14" max="14" width="0.85546875" style="110" customWidth="1"/>
    <col min="15" max="15" width="21.140625" style="110" bestFit="1" customWidth="1"/>
    <col min="16" max="16" width="0.5703125" style="110" customWidth="1"/>
    <col min="17" max="17" width="22.85546875" style="110" bestFit="1" customWidth="1"/>
    <col min="18" max="18" width="9.140625" style="110"/>
    <col min="19" max="19" width="12.7109375" style="110" bestFit="1" customWidth="1"/>
    <col min="20" max="16384" width="9.140625" style="110"/>
  </cols>
  <sheetData>
    <row r="1" spans="1:17" ht="21" customHeight="1">
      <c r="A1" s="326" t="s">
        <v>89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</row>
    <row r="2" spans="1:17" ht="18" customHeight="1">
      <c r="A2" s="326" t="s">
        <v>56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9.5" customHeight="1">
      <c r="A3" s="326" t="str">
        <f>' سهام'!A3:W3</f>
        <v>برای ماه منتهی به 1403/01/31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</row>
    <row r="4" spans="1:17">
      <c r="A4" s="309" t="s">
        <v>29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</row>
    <row r="5" spans="1:17" ht="4.5" customHeigh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7" ht="22.5" customHeight="1" thickBot="1">
      <c r="A6" s="195"/>
      <c r="B6" s="196"/>
      <c r="C6" s="363" t="s">
        <v>289</v>
      </c>
      <c r="D6" s="363"/>
      <c r="E6" s="363"/>
      <c r="F6" s="363"/>
      <c r="G6" s="363"/>
      <c r="H6" s="363"/>
      <c r="I6" s="363"/>
      <c r="J6" s="149"/>
      <c r="K6" s="363" t="s">
        <v>290</v>
      </c>
      <c r="L6" s="363"/>
      <c r="M6" s="363"/>
      <c r="N6" s="363"/>
      <c r="O6" s="363"/>
      <c r="P6" s="363"/>
      <c r="Q6" s="363"/>
    </row>
    <row r="7" spans="1:17" ht="15.75" customHeight="1">
      <c r="A7" s="359"/>
      <c r="B7" s="360"/>
      <c r="C7" s="361" t="s">
        <v>15</v>
      </c>
      <c r="D7" s="361"/>
      <c r="E7" s="361" t="s">
        <v>13</v>
      </c>
      <c r="F7" s="359"/>
      <c r="G7" s="361" t="s">
        <v>14</v>
      </c>
      <c r="H7" s="359"/>
      <c r="I7" s="361" t="s">
        <v>2</v>
      </c>
      <c r="J7" s="197"/>
      <c r="K7" s="361" t="s">
        <v>15</v>
      </c>
      <c r="L7" s="361"/>
      <c r="M7" s="361" t="s">
        <v>13</v>
      </c>
      <c r="N7" s="359"/>
      <c r="O7" s="361" t="s">
        <v>14</v>
      </c>
      <c r="P7" s="359"/>
      <c r="Q7" s="361" t="s">
        <v>2</v>
      </c>
    </row>
    <row r="8" spans="1:17" ht="12" customHeight="1">
      <c r="A8" s="360"/>
      <c r="B8" s="360"/>
      <c r="C8" s="362"/>
      <c r="D8" s="362"/>
      <c r="E8" s="362"/>
      <c r="F8" s="360"/>
      <c r="G8" s="362"/>
      <c r="H8" s="360"/>
      <c r="I8" s="362"/>
      <c r="J8" s="197"/>
      <c r="K8" s="362"/>
      <c r="L8" s="362"/>
      <c r="M8" s="362"/>
      <c r="N8" s="360"/>
      <c r="O8" s="362"/>
      <c r="P8" s="360"/>
      <c r="Q8" s="362"/>
    </row>
    <row r="9" spans="1:17" ht="14.25" customHeight="1" thickBot="1">
      <c r="A9" s="360"/>
      <c r="B9" s="360"/>
      <c r="C9" s="198" t="s">
        <v>65</v>
      </c>
      <c r="D9" s="362"/>
      <c r="E9" s="198" t="s">
        <v>60</v>
      </c>
      <c r="F9" s="360"/>
      <c r="G9" s="198" t="s">
        <v>61</v>
      </c>
      <c r="H9" s="360"/>
      <c r="I9" s="363"/>
      <c r="J9" s="199"/>
      <c r="K9" s="198" t="s">
        <v>65</v>
      </c>
      <c r="L9" s="362"/>
      <c r="M9" s="198" t="s">
        <v>60</v>
      </c>
      <c r="N9" s="360"/>
      <c r="O9" s="198" t="s">
        <v>61</v>
      </c>
      <c r="P9" s="360"/>
      <c r="Q9" s="363"/>
    </row>
    <row r="10" spans="1:17" ht="27.75" customHeight="1">
      <c r="A10" s="149" t="s">
        <v>231</v>
      </c>
      <c r="B10" s="149"/>
      <c r="C10" s="71">
        <v>0</v>
      </c>
      <c r="D10" s="197"/>
      <c r="E10" s="71">
        <f>VLOOKUP(A10,'درآمد ناشی از تغییر قیمت اوراق '!$A$7:$Q$12,9,0)</f>
        <v>8342546640</v>
      </c>
      <c r="F10" s="149"/>
      <c r="G10" s="71">
        <v>0</v>
      </c>
      <c r="H10" s="149"/>
      <c r="I10" s="71">
        <f>G10+E10+C10</f>
        <v>8342546640</v>
      </c>
      <c r="J10" s="199"/>
      <c r="K10" s="71">
        <v>0</v>
      </c>
      <c r="L10" s="197"/>
      <c r="M10" s="71">
        <f>VLOOKUP(A10,'درآمد ناشی از تغییر قیمت اوراق '!$A$7:$Q$12,17,0)</f>
        <v>12917041368</v>
      </c>
      <c r="N10" s="149"/>
      <c r="O10" s="71">
        <v>0</v>
      </c>
      <c r="P10" s="149"/>
      <c r="Q10" s="71">
        <f>K10+M10+O10</f>
        <v>12917041368</v>
      </c>
    </row>
    <row r="11" spans="1:17" ht="27.75" customHeight="1">
      <c r="A11" s="149" t="s">
        <v>157</v>
      </c>
      <c r="B11" s="149"/>
      <c r="C11" s="71">
        <f>VLOOKUP(A11,'سود اوراق بهادار و سپرده بانکی'!$A$8:$Q$88,11,0)</f>
        <v>6644543517</v>
      </c>
      <c r="D11" s="197"/>
      <c r="E11" s="71">
        <f>VLOOKUP(A11,'درآمد ناشی از تغییر قیمت اوراق '!$A$7:$Q$12,9,0)</f>
        <v>-7364914869</v>
      </c>
      <c r="F11" s="149"/>
      <c r="G11" s="71">
        <f>VLOOKUP(A11,'درآمد ناشی ازفروش'!$A$7:$Q$11,9,0)</f>
        <v>0</v>
      </c>
      <c r="H11" s="149"/>
      <c r="I11" s="71">
        <f t="shared" ref="I11:I17" si="0">G11+E11+C11</f>
        <v>-720371352</v>
      </c>
      <c r="J11" s="199"/>
      <c r="K11" s="71">
        <f>VLOOKUP(A11,'سود اوراق بهادار و سپرده بانکی'!$A$7:$Q$88,17,0)</f>
        <v>27042810639</v>
      </c>
      <c r="L11" s="197"/>
      <c r="M11" s="71">
        <f>VLOOKUP(A11,'درآمد ناشی از تغییر قیمت اوراق '!$A$7:$Q$12,17,0)</f>
        <v>-6672790338</v>
      </c>
      <c r="N11" s="149"/>
      <c r="O11" s="71">
        <f>VLOOKUP(A11,'درآمد ناشی ازفروش'!$A$7:$Q$11,17,0)</f>
        <v>-1010445125</v>
      </c>
      <c r="P11" s="149"/>
      <c r="Q11" s="71">
        <f t="shared" ref="Q11:Q17" si="1">K11+M11+O11</f>
        <v>19359575176</v>
      </c>
    </row>
    <row r="12" spans="1:17" ht="27.75" customHeight="1">
      <c r="A12" s="149" t="s">
        <v>120</v>
      </c>
      <c r="B12" s="149"/>
      <c r="C12" s="71">
        <f>VLOOKUP(A12,'سود اوراق بهادار و سپرده بانکی'!$A$8:$Q$88,11,0)</f>
        <v>5234908279</v>
      </c>
      <c r="D12" s="197"/>
      <c r="E12" s="71">
        <f>VLOOKUP(A12,'درآمد ناشی از تغییر قیمت اوراق '!$A$7:$Q$12,9,0)</f>
        <v>0</v>
      </c>
      <c r="F12" s="149"/>
      <c r="G12" s="71">
        <f>VLOOKUP(A12,'درآمد ناشی ازفروش'!$A$7:$Q$11,9,0)</f>
        <v>0</v>
      </c>
      <c r="H12" s="149"/>
      <c r="I12" s="71">
        <f>G12+E12+C12</f>
        <v>5234908279</v>
      </c>
      <c r="J12" s="199"/>
      <c r="K12" s="71">
        <f>VLOOKUP(A12,'سود اوراق بهادار و سپرده بانکی'!$A$7:$Q$88,17,0)</f>
        <v>24873816520</v>
      </c>
      <c r="L12" s="197"/>
      <c r="M12" s="71">
        <f>VLOOKUP(A12,'درآمد ناشی از تغییر قیمت اوراق '!$A$7:$Q$12,17,0)</f>
        <v>25176985846</v>
      </c>
      <c r="N12" s="149"/>
      <c r="O12" s="71">
        <f>VLOOKUP(A12,'درآمد ناشی ازفروش'!$A$7:$Q$11,17,0)</f>
        <v>3876077656</v>
      </c>
      <c r="P12" s="149"/>
      <c r="Q12" s="71">
        <f t="shared" si="1"/>
        <v>53926880022</v>
      </c>
    </row>
    <row r="13" spans="1:17" ht="27.75" customHeight="1">
      <c r="A13" s="154" t="s">
        <v>183</v>
      </c>
      <c r="B13" s="149"/>
      <c r="C13" s="71">
        <f>VLOOKUP(A13,'سود اوراق بهادار و سپرده بانکی'!$A$8:$Q$88,11,0)</f>
        <v>0</v>
      </c>
      <c r="D13" s="197"/>
      <c r="E13" s="71">
        <v>0</v>
      </c>
      <c r="F13" s="149"/>
      <c r="G13" s="71">
        <f>VLOOKUP(A13,'درآمد ناشی ازفروش'!$A$7:$Q$11,9,0)</f>
        <v>0</v>
      </c>
      <c r="H13" s="149"/>
      <c r="I13" s="71">
        <f>G13+E13+C13</f>
        <v>0</v>
      </c>
      <c r="J13" s="199"/>
      <c r="K13" s="71">
        <f>VLOOKUP(A13,'سود اوراق بهادار و سپرده بانکی'!$A$7:$Q$88,17,0)</f>
        <v>8269843927</v>
      </c>
      <c r="L13" s="197"/>
      <c r="M13" s="71">
        <v>0</v>
      </c>
      <c r="N13" s="149"/>
      <c r="O13" s="71">
        <f>VLOOKUP(A13,'درآمد ناشی ازفروش'!$A$7:$Q$11,17,0)</f>
        <v>-78000000</v>
      </c>
      <c r="P13" s="149"/>
      <c r="Q13" s="71">
        <f t="shared" si="1"/>
        <v>8191843927</v>
      </c>
    </row>
    <row r="14" spans="1:17" ht="21" customHeight="1">
      <c r="A14" s="154" t="s">
        <v>143</v>
      </c>
      <c r="B14" s="149"/>
      <c r="C14" s="71">
        <f>VLOOKUP(A14,'سود اوراق بهادار و سپرده بانکی'!$A$8:$Q$88,11,0)</f>
        <v>6365210533</v>
      </c>
      <c r="D14" s="197"/>
      <c r="E14" s="71">
        <f>VLOOKUP(A14,'درآمد ناشی از تغییر قیمت اوراق '!$A$7:$Q$12,9,0)</f>
        <v>-16339729886</v>
      </c>
      <c r="F14" s="149"/>
      <c r="G14" s="71">
        <f>VLOOKUP(A14,'درآمد ناشی ازفروش'!$A$7:$Q$11,9,0)</f>
        <v>19836866289</v>
      </c>
      <c r="H14" s="149"/>
      <c r="I14" s="71">
        <f t="shared" si="0"/>
        <v>9862346936</v>
      </c>
      <c r="J14" s="199"/>
      <c r="K14" s="71">
        <f>VLOOKUP(A14,'سود اوراق بهادار و سپرده بانکی'!$A$7:$Q$88,17,0)</f>
        <v>38098063699</v>
      </c>
      <c r="L14" s="197"/>
      <c r="M14" s="71">
        <f>VLOOKUP(A14,'درآمد ناشی از تغییر قیمت اوراق '!$A$7:$Q$12,17,0)</f>
        <v>0</v>
      </c>
      <c r="N14" s="149"/>
      <c r="O14" s="71">
        <f>VLOOKUP(A14,'درآمد ناشی ازفروش'!$A$7:$Q$11,17,0)</f>
        <v>19836866289</v>
      </c>
      <c r="P14" s="149"/>
      <c r="Q14" s="71">
        <f t="shared" si="1"/>
        <v>57934929988</v>
      </c>
    </row>
    <row r="15" spans="1:17" ht="26.25" customHeight="1">
      <c r="A15" s="154" t="s">
        <v>232</v>
      </c>
      <c r="B15" s="149"/>
      <c r="C15" s="71">
        <v>0</v>
      </c>
      <c r="D15" s="197"/>
      <c r="E15" s="71">
        <f>VLOOKUP(A15,'درآمد ناشی از تغییر قیمت اوراق '!$A$7:$Q$12,9,0)</f>
        <v>17530641994</v>
      </c>
      <c r="F15" s="149"/>
      <c r="G15" s="71">
        <v>0</v>
      </c>
      <c r="H15" s="149"/>
      <c r="I15" s="71">
        <f t="shared" si="0"/>
        <v>17530641994</v>
      </c>
      <c r="J15" s="199"/>
      <c r="K15" s="71">
        <v>0</v>
      </c>
      <c r="L15" s="197"/>
      <c r="M15" s="71">
        <f>VLOOKUP(A15,'درآمد ناشی از تغییر قیمت اوراق '!$A$7:$Q$12,17,0)</f>
        <v>17881447990</v>
      </c>
      <c r="N15" s="149"/>
      <c r="O15" s="71">
        <v>0</v>
      </c>
      <c r="P15" s="149"/>
      <c r="Q15" s="71">
        <f t="shared" si="1"/>
        <v>17881447990</v>
      </c>
    </row>
    <row r="16" spans="1:17" ht="26.25" customHeight="1">
      <c r="A16" s="154" t="s">
        <v>182</v>
      </c>
      <c r="B16" s="149"/>
      <c r="C16" s="71">
        <v>0</v>
      </c>
      <c r="D16" s="197"/>
      <c r="E16" s="71">
        <f>VLOOKUP(A16,'درآمد ناشی از تغییر قیمت اوراق '!$A$7:$Q$12,9,0)</f>
        <v>1209092811</v>
      </c>
      <c r="F16" s="149"/>
      <c r="G16" s="71">
        <v>0</v>
      </c>
      <c r="H16" s="149"/>
      <c r="I16" s="71">
        <f t="shared" si="0"/>
        <v>1209092811</v>
      </c>
      <c r="J16" s="199"/>
      <c r="K16" s="71">
        <v>0</v>
      </c>
      <c r="L16" s="197"/>
      <c r="M16" s="71">
        <f>VLOOKUP(A16,'درآمد ناشی از تغییر قیمت اوراق '!$A$7:$Q$12,17,0)</f>
        <v>1410248757</v>
      </c>
      <c r="N16" s="149"/>
      <c r="O16" s="71">
        <v>0</v>
      </c>
      <c r="P16" s="149"/>
      <c r="Q16" s="71">
        <f t="shared" si="1"/>
        <v>1410248757</v>
      </c>
    </row>
    <row r="17" spans="1:17" ht="26.25" customHeight="1">
      <c r="A17" s="154" t="s">
        <v>142</v>
      </c>
      <c r="B17" s="149"/>
      <c r="C17" s="71">
        <f>VLOOKUP(A17,'سود اوراق بهادار و سپرده بانکی'!$A$8:$Q$88,11,0)</f>
        <v>0</v>
      </c>
      <c r="D17" s="197"/>
      <c r="E17" s="71">
        <v>0</v>
      </c>
      <c r="F17" s="149"/>
      <c r="G17" s="71">
        <f>VLOOKUP(A17,'درآمد ناشی ازفروش'!$A$7:$Q$11,9,0)</f>
        <v>0</v>
      </c>
      <c r="H17" s="149"/>
      <c r="I17" s="71">
        <f t="shared" si="0"/>
        <v>0</v>
      </c>
      <c r="J17" s="199"/>
      <c r="K17" s="71">
        <f>VLOOKUP(A17,'سود اوراق بهادار و سپرده بانکی'!$A$7:$Q$88,17,0)</f>
        <v>760435788</v>
      </c>
      <c r="L17" s="197"/>
      <c r="M17" s="71">
        <v>0</v>
      </c>
      <c r="N17" s="149"/>
      <c r="O17" s="71">
        <f>VLOOKUP(A17,'درآمد ناشی ازفروش'!$A$7:$Q$11,17,0)</f>
        <v>-123385340</v>
      </c>
      <c r="P17" s="149"/>
      <c r="Q17" s="71">
        <f t="shared" si="1"/>
        <v>637050448</v>
      </c>
    </row>
    <row r="18" spans="1:17" ht="21" customHeight="1" thickBot="1">
      <c r="A18" s="200" t="s">
        <v>2</v>
      </c>
      <c r="B18" s="201"/>
      <c r="C18" s="202">
        <f>SUM(C10:C17)</f>
        <v>18244662329</v>
      </c>
      <c r="D18" s="83" t="e">
        <f>SUM(#REF!)</f>
        <v>#REF!</v>
      </c>
      <c r="E18" s="202">
        <f>SUM(E10:E17)</f>
        <v>3377636690</v>
      </c>
      <c r="F18" s="83" t="e">
        <f>SUM(#REF!)</f>
        <v>#REF!</v>
      </c>
      <c r="G18" s="202">
        <f>SUM(G10:G17)</f>
        <v>19836866289</v>
      </c>
      <c r="H18" s="83" t="e">
        <f>SUM(#REF!)</f>
        <v>#REF!</v>
      </c>
      <c r="I18" s="202">
        <f>SUM(I10:I17)</f>
        <v>41459165308</v>
      </c>
      <c r="J18" s="83" t="e">
        <f>SUM(#REF!)</f>
        <v>#REF!</v>
      </c>
      <c r="K18" s="202">
        <f>SUM(K10:K17)</f>
        <v>99044970573</v>
      </c>
      <c r="L18" s="83" t="e">
        <f>SUM(#REF!)</f>
        <v>#REF!</v>
      </c>
      <c r="M18" s="202">
        <f>SUM(M10:M17)</f>
        <v>50712933623</v>
      </c>
      <c r="N18" s="83" t="e">
        <f>SUM(#REF!)</f>
        <v>#REF!</v>
      </c>
      <c r="O18" s="202">
        <f>SUM(O10:O17)</f>
        <v>22501113480</v>
      </c>
      <c r="P18" s="83" t="e">
        <f>SUM(#REF!)</f>
        <v>#REF!</v>
      </c>
      <c r="Q18" s="202">
        <f>SUM(Q10:Q17)</f>
        <v>172259017676</v>
      </c>
    </row>
    <row r="19" spans="1:17" ht="22.5" thickTop="1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  <pageSetUpPr fitToPage="1"/>
  </sheetPr>
  <dimension ref="A1:L86"/>
  <sheetViews>
    <sheetView rightToLeft="1" view="pageBreakPreview" topLeftCell="A88" zoomScaleNormal="100" zoomScaleSheetLayoutView="100" workbookViewId="0">
      <selection activeCell="C87" sqref="C87"/>
    </sheetView>
  </sheetViews>
  <sheetFormatPr defaultColWidth="9.140625" defaultRowHeight="21.75"/>
  <cols>
    <col min="1" max="1" width="43" style="253" customWidth="1"/>
    <col min="2" max="2" width="0.7109375" style="110" customWidth="1"/>
    <col min="3" max="3" width="22.85546875" style="253" customWidth="1"/>
    <col min="4" max="4" width="0.7109375" style="110" customWidth="1"/>
    <col min="5" max="5" width="18.42578125" style="72" customWidth="1"/>
    <col min="6" max="6" width="1.42578125" style="72" customWidth="1"/>
    <col min="7" max="7" width="21.7109375" style="72" customWidth="1"/>
    <col min="8" max="8" width="1.42578125" style="72" customWidth="1"/>
    <col min="9" max="9" width="19.5703125" style="72" customWidth="1"/>
    <col min="10" max="10" width="1.28515625" style="110" customWidth="1"/>
    <col min="11" max="11" width="18.85546875" style="110" customWidth="1"/>
    <col min="12" max="12" width="0.7109375" style="110" customWidth="1"/>
    <col min="13" max="16384" width="9.140625" style="110"/>
  </cols>
  <sheetData>
    <row r="1" spans="1:12" ht="22.5">
      <c r="A1" s="326" t="s">
        <v>89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2" ht="22.5">
      <c r="A2" s="326" t="s">
        <v>56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</row>
    <row r="3" spans="1:12" ht="22.5">
      <c r="A3" s="326" t="str">
        <f>' سهام'!A3:W3</f>
        <v>برای ماه منتهی به 1403/01/31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</row>
    <row r="4" spans="1:12">
      <c r="A4" s="309" t="s">
        <v>30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ht="22.5" thickBot="1">
      <c r="A5" s="251"/>
      <c r="B5" s="145"/>
      <c r="C5" s="251"/>
      <c r="D5" s="144"/>
      <c r="E5" s="65"/>
      <c r="F5" s="65"/>
      <c r="G5" s="65"/>
      <c r="H5" s="65"/>
      <c r="I5" s="65"/>
      <c r="J5" s="145"/>
      <c r="K5" s="145"/>
      <c r="L5" s="145"/>
    </row>
    <row r="6" spans="1:12" ht="37.5" customHeight="1" thickBot="1">
      <c r="A6" s="364" t="s">
        <v>20</v>
      </c>
      <c r="B6" s="364"/>
      <c r="C6" s="364"/>
      <c r="D6" s="149"/>
      <c r="E6" s="365" t="s">
        <v>289</v>
      </c>
      <c r="F6" s="365"/>
      <c r="G6" s="365"/>
      <c r="H6" s="365"/>
      <c r="I6" s="364" t="s">
        <v>290</v>
      </c>
      <c r="J6" s="364"/>
      <c r="K6" s="364"/>
      <c r="L6" s="364"/>
    </row>
    <row r="7" spans="1:12" ht="37.5">
      <c r="A7" s="252" t="s">
        <v>16</v>
      </c>
      <c r="B7" s="149"/>
      <c r="C7" s="252" t="s">
        <v>9</v>
      </c>
      <c r="D7" s="197"/>
      <c r="E7" s="84" t="s">
        <v>17</v>
      </c>
      <c r="F7" s="85"/>
      <c r="G7" s="84" t="s">
        <v>18</v>
      </c>
      <c r="H7" s="86"/>
      <c r="I7" s="84" t="s">
        <v>17</v>
      </c>
      <c r="J7" s="149"/>
      <c r="K7" s="203" t="s">
        <v>18</v>
      </c>
      <c r="L7" s="149"/>
    </row>
    <row r="8" spans="1:12">
      <c r="A8" s="254" t="s">
        <v>117</v>
      </c>
      <c r="B8" s="149"/>
      <c r="C8" s="211" t="s">
        <v>128</v>
      </c>
      <c r="D8" s="197"/>
      <c r="E8" s="68">
        <f>VLOOKUP(A8,'سود اوراق بهادار و سپرده بانکی'!$A$7:$Q$88,11,0)</f>
        <v>7200</v>
      </c>
      <c r="F8" s="85"/>
      <c r="G8" s="109">
        <f>E8/$E$85</f>
        <v>2.0613092532735163E-7</v>
      </c>
      <c r="H8" s="93"/>
      <c r="I8" s="68">
        <f>VLOOKUP(A8,'سود اوراق بهادار و سپرده بانکی'!$A$7:$Q$88,17,0)</f>
        <v>10391965</v>
      </c>
      <c r="J8" s="149"/>
      <c r="K8" s="255">
        <f>I8/$I$85</f>
        <v>7.5664268976899902E-5</v>
      </c>
      <c r="L8" s="149"/>
    </row>
    <row r="9" spans="1:12">
      <c r="A9" s="254" t="s">
        <v>162</v>
      </c>
      <c r="B9" s="149"/>
      <c r="C9" s="211" t="s">
        <v>172</v>
      </c>
      <c r="D9" s="197"/>
      <c r="E9" s="68">
        <f>VLOOKUP(A9,'سود اوراق بهادار و سپرده بانکی'!$A$7:$Q$88,11,0)</f>
        <v>3581723182</v>
      </c>
      <c r="F9" s="85"/>
      <c r="G9" s="109">
        <f t="shared" ref="G9:G72" si="0">E9/$E$85</f>
        <v>0.10254221024612309</v>
      </c>
      <c r="H9" s="93"/>
      <c r="I9" s="68">
        <f>VLOOKUP(A9,'سود اوراق بهادار و سپرده بانکی'!$A$7:$Q$88,17,0)</f>
        <v>5833686288</v>
      </c>
      <c r="J9" s="149"/>
      <c r="K9" s="255">
        <f t="shared" ref="K9:K72" si="1">I9/$I$85</f>
        <v>4.2475278585145812E-2</v>
      </c>
      <c r="L9" s="149"/>
    </row>
    <row r="10" spans="1:12">
      <c r="A10" s="254" t="s">
        <v>115</v>
      </c>
      <c r="B10" s="149"/>
      <c r="C10" s="211" t="s">
        <v>107</v>
      </c>
      <c r="D10" s="197"/>
      <c r="E10" s="68">
        <f>VLOOKUP(A10,'سود اوراق بهادار و سپرده بانکی'!$A$7:$Q$88,11,0)</f>
        <v>1291100571</v>
      </c>
      <c r="F10" s="85"/>
      <c r="G10" s="109">
        <f t="shared" si="0"/>
        <v>3.6963299359847504E-2</v>
      </c>
      <c r="H10" s="93"/>
      <c r="I10" s="68">
        <f>VLOOKUP(A10,'سود اوراق بهادار و سپرده بانکی'!$A$7:$Q$88,17,0)</f>
        <v>3712087286</v>
      </c>
      <c r="J10" s="149"/>
      <c r="K10" s="255">
        <f t="shared" si="1"/>
        <v>2.7027840343345495E-2</v>
      </c>
      <c r="L10" s="149"/>
    </row>
    <row r="11" spans="1:12">
      <c r="A11" s="254" t="s">
        <v>116</v>
      </c>
      <c r="B11" s="149"/>
      <c r="C11" s="211" t="s">
        <v>103</v>
      </c>
      <c r="D11" s="197"/>
      <c r="E11" s="68">
        <f>VLOOKUP(A11,'سود اوراق بهادار و سپرده بانکی'!$A$7:$Q$88,11,0)</f>
        <v>1171434214</v>
      </c>
      <c r="F11" s="85"/>
      <c r="G11" s="109">
        <f t="shared" si="0"/>
        <v>3.3537335901658173E-2</v>
      </c>
      <c r="H11" s="93"/>
      <c r="I11" s="68">
        <f>VLOOKUP(A11,'سود اوراق بهادار و سپرده بانکی'!$A$7:$Q$88,17,0)</f>
        <v>1171463629</v>
      </c>
      <c r="J11" s="149"/>
      <c r="K11" s="255">
        <f t="shared" si="1"/>
        <v>8.5294685962963961E-3</v>
      </c>
      <c r="L11" s="149"/>
    </row>
    <row r="12" spans="1:12">
      <c r="A12" s="254" t="s">
        <v>119</v>
      </c>
      <c r="B12" s="149"/>
      <c r="C12" s="211" t="s">
        <v>105</v>
      </c>
      <c r="D12" s="197"/>
      <c r="E12" s="68">
        <f>VLOOKUP(A12,'سود اوراق بهادار و سپرده بانکی'!$A$7:$Q$88,11,0)</f>
        <v>2285</v>
      </c>
      <c r="F12" s="85"/>
      <c r="G12" s="109">
        <f t="shared" si="0"/>
        <v>6.5417939496249791E-8</v>
      </c>
      <c r="H12" s="93"/>
      <c r="I12" s="68">
        <f>VLOOKUP(A12,'سود اوراق بهادار و سپرده بانکی'!$A$7:$Q$88,17,0)</f>
        <v>9333</v>
      </c>
      <c r="J12" s="149"/>
      <c r="K12" s="255">
        <f t="shared" si="1"/>
        <v>6.7953906923416966E-8</v>
      </c>
      <c r="L12" s="149"/>
    </row>
    <row r="13" spans="1:12">
      <c r="A13" s="254" t="s">
        <v>118</v>
      </c>
      <c r="B13" s="149"/>
      <c r="C13" s="211" t="s">
        <v>108</v>
      </c>
      <c r="D13" s="197"/>
      <c r="E13" s="68">
        <f>VLOOKUP(A13,'سود اوراق بهادار و سپرده بانکی'!$A$7:$Q$88,11,0)</f>
        <v>7035</v>
      </c>
      <c r="F13" s="85"/>
      <c r="G13" s="109">
        <f t="shared" si="0"/>
        <v>2.0140709162193316E-7</v>
      </c>
      <c r="H13" s="93"/>
      <c r="I13" s="68">
        <f>VLOOKUP(A13,'سود اوراق بهادار و سپرده بانکی'!$A$7:$Q$88,17,0)</f>
        <v>163722545</v>
      </c>
      <c r="J13" s="149"/>
      <c r="K13" s="255">
        <f t="shared" si="1"/>
        <v>1.1920697079390277E-3</v>
      </c>
      <c r="L13" s="149"/>
    </row>
    <row r="14" spans="1:12">
      <c r="A14" s="254" t="s">
        <v>111</v>
      </c>
      <c r="B14" s="149"/>
      <c r="C14" s="211" t="s">
        <v>113</v>
      </c>
      <c r="D14" s="197"/>
      <c r="E14" s="68">
        <f>VLOOKUP(A14,'سود اوراق بهادار و سپرده بانکی'!$A$7:$Q$88,11,0)</f>
        <v>0</v>
      </c>
      <c r="F14" s="85"/>
      <c r="G14" s="109">
        <f t="shared" si="0"/>
        <v>0</v>
      </c>
      <c r="H14" s="93"/>
      <c r="I14" s="68">
        <f>VLOOKUP(A14,'سود اوراق بهادار و سپرده بانکی'!$A$7:$Q$88,17,0)</f>
        <v>3249417900</v>
      </c>
      <c r="J14" s="149"/>
      <c r="K14" s="255">
        <f t="shared" si="1"/>
        <v>2.3659127990130185E-2</v>
      </c>
      <c r="L14" s="149"/>
    </row>
    <row r="15" spans="1:12">
      <c r="A15" s="254" t="s">
        <v>125</v>
      </c>
      <c r="B15" s="149"/>
      <c r="C15" s="211" t="s">
        <v>130</v>
      </c>
      <c r="D15" s="197"/>
      <c r="E15" s="68">
        <f>VLOOKUP(A15,'سود اوراق بهادار و سپرده بانکی'!$A$7:$Q$88,11,0)</f>
        <v>3402</v>
      </c>
      <c r="F15" s="85"/>
      <c r="G15" s="109">
        <f t="shared" si="0"/>
        <v>9.7396862217173647E-8</v>
      </c>
      <c r="H15" s="93"/>
      <c r="I15" s="68">
        <f>VLOOKUP(A15,'سود اوراق بهادار و سپرده بانکی'!$A$7:$Q$88,17,0)</f>
        <v>15973</v>
      </c>
      <c r="J15" s="149"/>
      <c r="K15" s="255">
        <f t="shared" si="1"/>
        <v>1.1629998449456115E-7</v>
      </c>
      <c r="L15" s="149"/>
    </row>
    <row r="16" spans="1:12">
      <c r="A16" s="254" t="s">
        <v>126</v>
      </c>
      <c r="B16" s="149"/>
      <c r="C16" s="211" t="s">
        <v>131</v>
      </c>
      <c r="D16" s="197"/>
      <c r="E16" s="68">
        <f>VLOOKUP(A16,'سود اوراق بهادار و سپرده بانکی'!$A$7:$Q$88,11,0)</f>
        <v>0</v>
      </c>
      <c r="F16" s="85"/>
      <c r="G16" s="109">
        <f t="shared" si="0"/>
        <v>0</v>
      </c>
      <c r="H16" s="93"/>
      <c r="I16" s="68">
        <f>VLOOKUP(A16,'سود اوراق بهادار و سپرده بانکی'!$A$7:$Q$88,17,0)</f>
        <v>13592275.961538462</v>
      </c>
      <c r="J16" s="149"/>
      <c r="K16" s="255">
        <f t="shared" si="1"/>
        <v>9.8965847591104953E-5</v>
      </c>
      <c r="L16" s="149"/>
    </row>
    <row r="17" spans="1:12">
      <c r="A17" s="254" t="s">
        <v>127</v>
      </c>
      <c r="B17" s="149"/>
      <c r="C17" s="211" t="s">
        <v>129</v>
      </c>
      <c r="D17" s="197"/>
      <c r="E17" s="68">
        <f>VLOOKUP(A17,'سود اوراق بهادار و سپرده بانکی'!$A$7:$Q$88,11,0)</f>
        <v>0</v>
      </c>
      <c r="F17" s="85"/>
      <c r="G17" s="109">
        <f t="shared" si="0"/>
        <v>0</v>
      </c>
      <c r="H17" s="93"/>
      <c r="I17" s="68">
        <f>VLOOKUP(A17,'سود اوراق بهادار و سپرده بانکی'!$A$7:$Q$88,17,0)</f>
        <v>11628496.698113207</v>
      </c>
      <c r="J17" s="149"/>
      <c r="K17" s="255">
        <f t="shared" si="1"/>
        <v>8.466750051246613E-5</v>
      </c>
      <c r="L17" s="149"/>
    </row>
    <row r="18" spans="1:12">
      <c r="A18" s="254" t="s">
        <v>124</v>
      </c>
      <c r="B18" s="149"/>
      <c r="C18" s="211" t="s">
        <v>132</v>
      </c>
      <c r="D18" s="197"/>
      <c r="E18" s="68">
        <f>VLOOKUP(A18,'سود اوراق بهادار و سپرده بانکی'!$A$7:$Q$88,11,0)</f>
        <v>0</v>
      </c>
      <c r="F18" s="85"/>
      <c r="G18" s="109">
        <f t="shared" si="0"/>
        <v>0</v>
      </c>
      <c r="H18" s="93"/>
      <c r="I18" s="68">
        <f>VLOOKUP(A18,'سود اوراق بهادار و سپرده بانکی'!$A$7:$Q$88,17,0)</f>
        <v>10554357.980769232</v>
      </c>
      <c r="J18" s="149"/>
      <c r="K18" s="255">
        <f t="shared" si="1"/>
        <v>7.6846658080104518E-5</v>
      </c>
      <c r="L18" s="149"/>
    </row>
    <row r="19" spans="1:12">
      <c r="A19" s="254" t="s">
        <v>136</v>
      </c>
      <c r="B19" s="149"/>
      <c r="C19" s="211" t="s">
        <v>139</v>
      </c>
      <c r="D19" s="197"/>
      <c r="E19" s="68">
        <f>VLOOKUP(A19,'سود اوراق بهادار و سپرده بانکی'!$A$7:$Q$88,11,0)</f>
        <v>0</v>
      </c>
      <c r="F19" s="85"/>
      <c r="G19" s="109">
        <f t="shared" si="0"/>
        <v>0</v>
      </c>
      <c r="H19" s="93"/>
      <c r="I19" s="68">
        <f>VLOOKUP(A19,'سود اوراق بهادار و سپرده بانکی'!$A$7:$Q$88,17,0)</f>
        <v>2648598906.8965516</v>
      </c>
      <c r="J19" s="149"/>
      <c r="K19" s="255">
        <f t="shared" si="1"/>
        <v>1.9284543404769334E-2</v>
      </c>
      <c r="L19" s="149"/>
    </row>
    <row r="20" spans="1:12">
      <c r="A20" s="254" t="s">
        <v>138</v>
      </c>
      <c r="B20" s="149"/>
      <c r="C20" s="211" t="s">
        <v>141</v>
      </c>
      <c r="D20" s="197"/>
      <c r="E20" s="68">
        <f>VLOOKUP(A20,'سود اوراق بهادار و سپرده بانکی'!$A$7:$Q$88,11,0)</f>
        <v>0</v>
      </c>
      <c r="F20" s="85"/>
      <c r="G20" s="109">
        <f t="shared" si="0"/>
        <v>0</v>
      </c>
      <c r="H20" s="93"/>
      <c r="I20" s="68">
        <f>VLOOKUP(A20,'سود اوراق بهادار و سپرده بانکی'!$A$7:$Q$88,17,0)</f>
        <v>3017000975</v>
      </c>
      <c r="J20" s="149"/>
      <c r="K20" s="255">
        <f t="shared" si="1"/>
        <v>2.1966892043609583E-2</v>
      </c>
      <c r="L20" s="149"/>
    </row>
    <row r="21" spans="1:12">
      <c r="A21" s="254" t="s">
        <v>137</v>
      </c>
      <c r="B21" s="149"/>
      <c r="C21" s="211" t="s">
        <v>140</v>
      </c>
      <c r="D21" s="197"/>
      <c r="E21" s="68">
        <f>VLOOKUP(A21,'سود اوراق بهادار و سپرده بانکی'!$A$7:$Q$88,11,0)</f>
        <v>0</v>
      </c>
      <c r="F21" s="85"/>
      <c r="G21" s="109">
        <f t="shared" si="0"/>
        <v>0</v>
      </c>
      <c r="H21" s="93"/>
      <c r="I21" s="68">
        <f>VLOOKUP(A21,'سود اوراق بهادار و سپرده بانکی'!$A$7:$Q$88,17,0)</f>
        <v>57680139.056603767</v>
      </c>
      <c r="J21" s="149"/>
      <c r="K21" s="255">
        <f t="shared" si="1"/>
        <v>4.1997115619652847E-4</v>
      </c>
      <c r="L21" s="149"/>
    </row>
    <row r="22" spans="1:12">
      <c r="A22" s="254" t="s">
        <v>147</v>
      </c>
      <c r="B22" s="7"/>
      <c r="C22" s="211" t="s">
        <v>152</v>
      </c>
      <c r="D22" s="7"/>
      <c r="E22" s="68">
        <f>VLOOKUP(A22,'سود اوراق بهادار و سپرده بانکی'!$A$7:$Q$88,11,0)</f>
        <v>0</v>
      </c>
      <c r="F22" s="7"/>
      <c r="G22" s="109">
        <f t="shared" si="0"/>
        <v>0</v>
      </c>
      <c r="H22" s="7"/>
      <c r="I22" s="68">
        <f>VLOOKUP(A22,'سود اوراق بهادار و سپرده بانکی'!$A$7:$Q$88,17,0)</f>
        <v>101050273.86792453</v>
      </c>
      <c r="J22" s="7"/>
      <c r="K22" s="255">
        <f t="shared" si="1"/>
        <v>7.3575065948856073E-4</v>
      </c>
      <c r="L22" s="149"/>
    </row>
    <row r="23" spans="1:12">
      <c r="A23" s="254" t="s">
        <v>149</v>
      </c>
      <c r="B23" s="7"/>
      <c r="C23" s="211" t="s">
        <v>154</v>
      </c>
      <c r="D23" s="7"/>
      <c r="E23" s="68">
        <f>VLOOKUP(A23,'سود اوراق بهادار و سپرده بانکی'!$A$7:$Q$88,11,0)</f>
        <v>0</v>
      </c>
      <c r="F23" s="7"/>
      <c r="G23" s="109">
        <f t="shared" si="0"/>
        <v>0</v>
      </c>
      <c r="H23" s="7"/>
      <c r="I23" s="68">
        <f>VLOOKUP(A23,'سود اوراق بهادار و سپرده بانکی'!$A$7:$Q$88,17,0)</f>
        <v>140235401.03773585</v>
      </c>
      <c r="J23" s="7"/>
      <c r="K23" s="255">
        <f t="shared" si="1"/>
        <v>1.0210589724082668E-3</v>
      </c>
      <c r="L23" s="149"/>
    </row>
    <row r="24" spans="1:12">
      <c r="A24" s="254" t="s">
        <v>148</v>
      </c>
      <c r="B24" s="7"/>
      <c r="C24" s="211" t="s">
        <v>153</v>
      </c>
      <c r="D24" s="7"/>
      <c r="E24" s="68">
        <f>VLOOKUP(A24,'سود اوراق بهادار و سپرده بانکی'!$A$7:$Q$88,11,0)</f>
        <v>0</v>
      </c>
      <c r="F24" s="7"/>
      <c r="G24" s="109">
        <f t="shared" si="0"/>
        <v>0</v>
      </c>
      <c r="H24" s="7"/>
      <c r="I24" s="68">
        <f>VLOOKUP(A24,'سود اوراق بهادار و سپرده بانکی'!$A$7:$Q$88,17,0)</f>
        <v>883561645</v>
      </c>
      <c r="J24" s="7"/>
      <c r="K24" s="255">
        <f t="shared" si="1"/>
        <v>6.4332439500086984E-3</v>
      </c>
      <c r="L24" s="149"/>
    </row>
    <row r="25" spans="1:12">
      <c r="A25" s="254" t="s">
        <v>150</v>
      </c>
      <c r="B25" s="7"/>
      <c r="C25" s="211" t="s">
        <v>155</v>
      </c>
      <c r="D25" s="7"/>
      <c r="E25" s="68">
        <f>VLOOKUP(A25,'سود اوراق بهادار و سپرده بانکی'!$A$7:$Q$88,11,0)</f>
        <v>0</v>
      </c>
      <c r="F25" s="7"/>
      <c r="G25" s="109">
        <f t="shared" si="0"/>
        <v>0</v>
      </c>
      <c r="H25" s="7"/>
      <c r="I25" s="68">
        <f>VLOOKUP(A25,'سود اوراق بهادار و سپرده بانکی'!$A$7:$Q$88,17,0)</f>
        <v>80136988.301886797</v>
      </c>
      <c r="J25" s="7"/>
      <c r="K25" s="255">
        <f t="shared" si="1"/>
        <v>5.83480279030255E-4</v>
      </c>
      <c r="L25" s="149"/>
    </row>
    <row r="26" spans="1:12">
      <c r="A26" s="254" t="s">
        <v>151</v>
      </c>
      <c r="B26" s="7"/>
      <c r="C26" s="211" t="s">
        <v>156</v>
      </c>
      <c r="D26" s="7"/>
      <c r="E26" s="68">
        <f>VLOOKUP(A26,'سود اوراق بهادار و سپرده بانکی'!$A$7:$Q$88,11,0)</f>
        <v>0</v>
      </c>
      <c r="F26" s="7"/>
      <c r="G26" s="109">
        <f t="shared" si="0"/>
        <v>0</v>
      </c>
      <c r="H26" s="7"/>
      <c r="I26" s="68">
        <f>VLOOKUP(A26,'سود اوراق بهادار و سپرده بانکی'!$A$7:$Q$88,17,0)</f>
        <v>51828902.830188677</v>
      </c>
      <c r="J26" s="7"/>
      <c r="K26" s="255">
        <f t="shared" si="1"/>
        <v>3.773680958818669E-4</v>
      </c>
      <c r="L26" s="149"/>
    </row>
    <row r="27" spans="1:12">
      <c r="A27" s="254" t="s">
        <v>164</v>
      </c>
      <c r="B27" s="7"/>
      <c r="C27" s="211" t="s">
        <v>174</v>
      </c>
      <c r="D27" s="7"/>
      <c r="E27" s="68">
        <f>VLOOKUP(A27,'سود اوراق بهادار و سپرده بانکی'!$A$7:$Q$88,11,0)</f>
        <v>0</v>
      </c>
      <c r="F27" s="7"/>
      <c r="G27" s="109">
        <f t="shared" si="0"/>
        <v>0</v>
      </c>
      <c r="H27" s="7"/>
      <c r="I27" s="68">
        <f>VLOOKUP(A27,'سود اوراق بهادار و سپرده بانکی'!$A$7:$Q$88,17,0)</f>
        <v>1418042474.1509435</v>
      </c>
      <c r="J27" s="7"/>
      <c r="K27" s="255">
        <f t="shared" si="1"/>
        <v>1.0324817990132339E-2</v>
      </c>
      <c r="L27" s="149"/>
    </row>
    <row r="28" spans="1:12">
      <c r="A28" s="254" t="s">
        <v>167</v>
      </c>
      <c r="B28" s="7"/>
      <c r="C28" s="211" t="s">
        <v>177</v>
      </c>
      <c r="D28" s="7"/>
      <c r="E28" s="68">
        <f>VLOOKUP(A28,'سود اوراق بهادار و سپرده بانکی'!$A$7:$Q$88,11,0)</f>
        <v>0</v>
      </c>
      <c r="F28" s="7"/>
      <c r="G28" s="109">
        <f t="shared" si="0"/>
        <v>0</v>
      </c>
      <c r="H28" s="7"/>
      <c r="I28" s="68">
        <f>VLOOKUP(A28,'سود اوراق بهادار و سپرده بانکی'!$A$7:$Q$88,17,0)</f>
        <v>40068495</v>
      </c>
      <c r="J28" s="7"/>
      <c r="K28" s="255">
        <f t="shared" si="1"/>
        <v>2.91740145697139E-4</v>
      </c>
      <c r="L28" s="149"/>
    </row>
    <row r="29" spans="1:12">
      <c r="A29" s="254" t="s">
        <v>168</v>
      </c>
      <c r="B29" s="7"/>
      <c r="C29" s="211" t="s">
        <v>178</v>
      </c>
      <c r="D29" s="7"/>
      <c r="E29" s="68">
        <f>VLOOKUP(A29,'سود اوراق بهادار و سپرده بانکی'!$A$7:$Q$88,11,0)</f>
        <v>0</v>
      </c>
      <c r="F29" s="7"/>
      <c r="G29" s="109">
        <f t="shared" si="0"/>
        <v>0</v>
      </c>
      <c r="H29" s="7"/>
      <c r="I29" s="68">
        <f>VLOOKUP(A29,'سود اوراق بهادار و سپرده بانکی'!$A$7:$Q$88,17,0)</f>
        <v>920809462.92452824</v>
      </c>
      <c r="J29" s="7"/>
      <c r="K29" s="255">
        <f t="shared" si="1"/>
        <v>6.7044466449989243E-3</v>
      </c>
      <c r="L29" s="149"/>
    </row>
    <row r="30" spans="1:12">
      <c r="A30" s="254" t="s">
        <v>163</v>
      </c>
      <c r="B30" s="7"/>
      <c r="C30" s="211" t="s">
        <v>173</v>
      </c>
      <c r="D30" s="7"/>
      <c r="E30" s="68">
        <f>VLOOKUP(A30,'سود اوراق بهادار و سپرده بانکی'!$A$7:$Q$88,11,0)</f>
        <v>68500971</v>
      </c>
      <c r="F30" s="7"/>
      <c r="G30" s="109">
        <f t="shared" si="0"/>
        <v>1.9611345191738998E-3</v>
      </c>
      <c r="H30" s="7"/>
      <c r="I30" s="68">
        <f>VLOOKUP(A30,'سود اوراق بهادار و سپرده بانکی'!$A$7:$Q$88,17,0)</f>
        <v>3226371809</v>
      </c>
      <c r="J30" s="7"/>
      <c r="K30" s="255">
        <f t="shared" si="1"/>
        <v>2.3491328576998011E-2</v>
      </c>
      <c r="L30" s="149"/>
    </row>
    <row r="31" spans="1:12">
      <c r="A31" s="254" t="s">
        <v>169</v>
      </c>
      <c r="B31" s="7"/>
      <c r="C31" s="211" t="s">
        <v>179</v>
      </c>
      <c r="D31" s="7"/>
      <c r="E31" s="68">
        <f>VLOOKUP(A31,'سود اوراق بهادار و سپرده بانکی'!$A$7:$Q$88,11,0)</f>
        <v>0</v>
      </c>
      <c r="F31" s="7"/>
      <c r="G31" s="109">
        <f t="shared" si="0"/>
        <v>0</v>
      </c>
      <c r="H31" s="7"/>
      <c r="I31" s="68">
        <f>VLOOKUP(A31,'سود اوراق بهادار و سپرده بانکی'!$A$7:$Q$88,17,0)</f>
        <v>2568975880</v>
      </c>
      <c r="J31" s="7"/>
      <c r="K31" s="255">
        <f t="shared" si="1"/>
        <v>1.870480529712024E-2</v>
      </c>
      <c r="L31" s="149"/>
    </row>
    <row r="32" spans="1:12">
      <c r="A32" s="254" t="s">
        <v>165</v>
      </c>
      <c r="B32" s="7"/>
      <c r="C32" s="211" t="s">
        <v>175</v>
      </c>
      <c r="D32" s="7"/>
      <c r="E32" s="68">
        <f>VLOOKUP(A32,'سود اوراق بهادار و سپرده بانکی'!$A$7:$Q$88,11,0)</f>
        <v>0</v>
      </c>
      <c r="F32" s="7"/>
      <c r="G32" s="109">
        <f t="shared" si="0"/>
        <v>0</v>
      </c>
      <c r="H32" s="7"/>
      <c r="I32" s="68">
        <f>VLOOKUP(A32,'سود اوراق بهادار و سپرده بانکی'!$A$7:$Q$88,17,0)</f>
        <v>1208835618.3333333</v>
      </c>
      <c r="J32" s="7"/>
      <c r="K32" s="255">
        <f t="shared" si="1"/>
        <v>8.8015753877568326E-3</v>
      </c>
      <c r="L32" s="149"/>
    </row>
    <row r="33" spans="1:12">
      <c r="A33" s="254" t="s">
        <v>166</v>
      </c>
      <c r="B33" s="7"/>
      <c r="C33" s="211" t="s">
        <v>176</v>
      </c>
      <c r="D33" s="7"/>
      <c r="E33" s="68">
        <f>VLOOKUP(A33,'سود اوراق بهادار و سپرده بانکی'!$A$7:$Q$88,11,0)</f>
        <v>0</v>
      </c>
      <c r="F33" s="7"/>
      <c r="G33" s="109">
        <f t="shared" si="0"/>
        <v>0</v>
      </c>
      <c r="H33" s="7"/>
      <c r="I33" s="68">
        <f>VLOOKUP(A33,'سود اوراق بهادار و سپرده بانکی'!$A$7:$Q$88,17,0)</f>
        <v>303333906</v>
      </c>
      <c r="J33" s="7"/>
      <c r="K33" s="255">
        <f t="shared" si="1"/>
        <v>2.2085850225051443E-3</v>
      </c>
      <c r="L33" s="149"/>
    </row>
    <row r="34" spans="1:12">
      <c r="A34" s="254" t="s">
        <v>171</v>
      </c>
      <c r="B34" s="7"/>
      <c r="C34" s="211" t="s">
        <v>181</v>
      </c>
      <c r="D34" s="7"/>
      <c r="E34" s="68">
        <f>VLOOKUP(A34,'سود اوراق بهادار و سپرده بانکی'!$A$7:$Q$88,11,0)</f>
        <v>0</v>
      </c>
      <c r="F34" s="7"/>
      <c r="G34" s="109">
        <f t="shared" si="0"/>
        <v>0</v>
      </c>
      <c r="H34" s="7"/>
      <c r="I34" s="68">
        <f>VLOOKUP(A34,'سود اوراق بهادار و سپرده بانکی'!$A$7:$Q$88,17,0)</f>
        <v>5942619864</v>
      </c>
      <c r="J34" s="7"/>
      <c r="K34" s="255">
        <f t="shared" si="1"/>
        <v>4.3268427849513E-2</v>
      </c>
      <c r="L34" s="149"/>
    </row>
    <row r="35" spans="1:12">
      <c r="A35" s="254" t="s">
        <v>170</v>
      </c>
      <c r="B35" s="7"/>
      <c r="C35" s="211" t="s">
        <v>180</v>
      </c>
      <c r="D35" s="7"/>
      <c r="E35" s="68">
        <f>VLOOKUP(A35,'سود اوراق بهادار و سپرده بانکی'!$A$7:$Q$88,11,0)</f>
        <v>0</v>
      </c>
      <c r="F35" s="7"/>
      <c r="G35" s="109">
        <f t="shared" si="0"/>
        <v>0</v>
      </c>
      <c r="H35" s="7"/>
      <c r="I35" s="68">
        <f>VLOOKUP(A35,'سود اوراق بهادار و سپرده بانکی'!$A$7:$Q$88,17,0)</f>
        <v>2904567523.3333335</v>
      </c>
      <c r="J35" s="7"/>
      <c r="K35" s="255">
        <f t="shared" si="1"/>
        <v>2.1148260059292091E-2</v>
      </c>
      <c r="L35" s="149"/>
    </row>
    <row r="36" spans="1:12">
      <c r="A36" s="254" t="s">
        <v>188</v>
      </c>
      <c r="B36" s="7"/>
      <c r="C36" s="211" t="s">
        <v>210</v>
      </c>
      <c r="D36" s="7"/>
      <c r="E36" s="68">
        <f>VLOOKUP(A36,'سود اوراق بهادار و سپرده بانکی'!$A$7:$Q$88,11,0)</f>
        <v>244062772</v>
      </c>
      <c r="F36" s="7"/>
      <c r="G36" s="109">
        <f t="shared" si="0"/>
        <v>6.9873451430997836E-3</v>
      </c>
      <c r="H36" s="7"/>
      <c r="I36" s="68">
        <f>VLOOKUP(A36,'سود اوراق بهادار و سپرده بانکی'!$A$7:$Q$88,17,0)</f>
        <v>263732225</v>
      </c>
      <c r="J36" s="7"/>
      <c r="K36" s="255">
        <f t="shared" si="1"/>
        <v>1.920243766244044E-3</v>
      </c>
      <c r="L36" s="149"/>
    </row>
    <row r="37" spans="1:12">
      <c r="A37" s="254" t="s">
        <v>189</v>
      </c>
      <c r="B37" s="7"/>
      <c r="C37" s="211" t="s">
        <v>211</v>
      </c>
      <c r="D37" s="7"/>
      <c r="E37" s="68">
        <f>VLOOKUP(A37,'سود اوراق بهادار و سپرده بانکی'!$A$7:$Q$88,11,0)</f>
        <v>0</v>
      </c>
      <c r="F37" s="7"/>
      <c r="G37" s="109">
        <f t="shared" si="0"/>
        <v>0</v>
      </c>
      <c r="H37" s="7"/>
      <c r="I37" s="68">
        <f>VLOOKUP(A37,'سود اوراق بهادار و سپرده بانکی'!$A$7:$Q$88,17,0)</f>
        <v>38065069</v>
      </c>
      <c r="J37" s="7"/>
      <c r="K37" s="255">
        <f t="shared" si="1"/>
        <v>2.771531293109873E-4</v>
      </c>
      <c r="L37" s="149"/>
    </row>
    <row r="38" spans="1:12">
      <c r="A38" s="254" t="s">
        <v>204</v>
      </c>
      <c r="B38" s="7"/>
      <c r="C38" s="211" t="s">
        <v>226</v>
      </c>
      <c r="D38" s="7"/>
      <c r="E38" s="68">
        <f>VLOOKUP(A38,'سود اوراق بهادار و سپرده بانکی'!$A$7:$Q$88,11,0)</f>
        <v>0</v>
      </c>
      <c r="F38" s="7"/>
      <c r="G38" s="109">
        <f t="shared" si="0"/>
        <v>0</v>
      </c>
      <c r="H38" s="7"/>
      <c r="I38" s="68">
        <f>VLOOKUP(A38,'سود اوراق بهادار و سپرده بانکی'!$A$7:$Q$88,17,0)</f>
        <v>10861662328</v>
      </c>
      <c r="J38" s="7"/>
      <c r="K38" s="255">
        <f t="shared" si="1"/>
        <v>7.9084152027268456E-2</v>
      </c>
      <c r="L38" s="149"/>
    </row>
    <row r="39" spans="1:12">
      <c r="A39" s="254" t="s">
        <v>186</v>
      </c>
      <c r="B39" s="7"/>
      <c r="C39" s="211" t="s">
        <v>208</v>
      </c>
      <c r="D39" s="7"/>
      <c r="E39" s="68">
        <f>VLOOKUP(A39,'سود اوراق بهادار و سپرده بانکی'!$A$7:$Q$88,11,0)</f>
        <v>0</v>
      </c>
      <c r="F39" s="7"/>
      <c r="G39" s="109">
        <f t="shared" si="0"/>
        <v>0</v>
      </c>
      <c r="H39" s="7"/>
      <c r="I39" s="68">
        <f>VLOOKUP(A39,'سود اوراق بهادار و سپرده بانکی'!$A$7:$Q$88,17,0)</f>
        <v>64417808</v>
      </c>
      <c r="J39" s="7"/>
      <c r="K39" s="255">
        <f t="shared" si="1"/>
        <v>4.6902836483901693E-4</v>
      </c>
      <c r="L39" s="149"/>
    </row>
    <row r="40" spans="1:12">
      <c r="A40" s="254" t="s">
        <v>198</v>
      </c>
      <c r="B40" s="7"/>
      <c r="C40" s="211" t="s">
        <v>220</v>
      </c>
      <c r="D40" s="7"/>
      <c r="E40" s="68">
        <f>VLOOKUP(A40,'سود اوراق بهادار و سپرده بانکی'!$A$7:$Q$88,11,0)</f>
        <v>0</v>
      </c>
      <c r="F40" s="7"/>
      <c r="G40" s="109">
        <f t="shared" si="0"/>
        <v>0</v>
      </c>
      <c r="H40" s="7"/>
      <c r="I40" s="68">
        <f>VLOOKUP(A40,'سود اوراق بهادار و سپرده بانکی'!$A$7:$Q$88,17,0)</f>
        <v>309673973</v>
      </c>
      <c r="J40" s="7"/>
      <c r="K40" s="255">
        <f t="shared" si="1"/>
        <v>2.2547472771720497E-3</v>
      </c>
      <c r="L40" s="149"/>
    </row>
    <row r="41" spans="1:12">
      <c r="A41" s="254" t="s">
        <v>200</v>
      </c>
      <c r="B41" s="7"/>
      <c r="C41" s="211" t="s">
        <v>222</v>
      </c>
      <c r="D41" s="7"/>
      <c r="E41" s="68">
        <f>VLOOKUP(A41,'سود اوراق بهادار و سپرده بانکی'!$A$7:$Q$88,11,0)</f>
        <v>0</v>
      </c>
      <c r="F41" s="7"/>
      <c r="G41" s="109">
        <f t="shared" si="0"/>
        <v>0</v>
      </c>
      <c r="H41" s="7"/>
      <c r="I41" s="68">
        <f>VLOOKUP(A41,'سود اوراق بهادار و سپرده بانکی'!$A$7:$Q$88,17,0)</f>
        <v>25767124</v>
      </c>
      <c r="J41" s="7"/>
      <c r="K41" s="255">
        <f t="shared" si="1"/>
        <v>1.8761135176043539E-4</v>
      </c>
      <c r="L41" s="149"/>
    </row>
    <row r="42" spans="1:12">
      <c r="A42" s="254" t="s">
        <v>187</v>
      </c>
      <c r="B42" s="7"/>
      <c r="C42" s="211" t="s">
        <v>209</v>
      </c>
      <c r="D42" s="7"/>
      <c r="E42" s="68">
        <f>VLOOKUP(A42,'سود اوراق بهادار و سپرده بانکی'!$A$7:$Q$88,11,0)</f>
        <v>0</v>
      </c>
      <c r="F42" s="7"/>
      <c r="G42" s="109">
        <f t="shared" si="0"/>
        <v>0</v>
      </c>
      <c r="H42" s="7"/>
      <c r="I42" s="68">
        <f>VLOOKUP(A42,'سود اوراق بهادار و سپرده بانکی'!$A$7:$Q$88,17,0)</f>
        <v>81986301</v>
      </c>
      <c r="J42" s="7"/>
      <c r="K42" s="255">
        <f t="shared" si="1"/>
        <v>5.9694519095138197E-4</v>
      </c>
      <c r="L42" s="149"/>
    </row>
    <row r="43" spans="1:12">
      <c r="A43" s="254" t="s">
        <v>201</v>
      </c>
      <c r="B43" s="7"/>
      <c r="C43" s="211" t="s">
        <v>223</v>
      </c>
      <c r="D43" s="7"/>
      <c r="E43" s="68">
        <f>VLOOKUP(A43,'سود اوراق بهادار و سپرده بانکی'!$A$7:$Q$88,11,0)</f>
        <v>0</v>
      </c>
      <c r="F43" s="7"/>
      <c r="G43" s="109">
        <f t="shared" si="0"/>
        <v>0</v>
      </c>
      <c r="H43" s="7"/>
      <c r="I43" s="68">
        <f>VLOOKUP(A43,'سود اوراق بهادار و سپرده بانکی'!$A$7:$Q$88,17,0)</f>
        <v>5856165</v>
      </c>
      <c r="J43" s="7"/>
      <c r="K43" s="255">
        <f t="shared" si="1"/>
        <v>4.2638946891478855E-5</v>
      </c>
      <c r="L43" s="149"/>
    </row>
    <row r="44" spans="1:12">
      <c r="A44" s="254" t="s">
        <v>205</v>
      </c>
      <c r="B44" s="7"/>
      <c r="C44" s="211" t="s">
        <v>227</v>
      </c>
      <c r="D44" s="7"/>
      <c r="E44" s="68">
        <f>VLOOKUP(A44,'سود اوراق بهادار و سپرده بانکی'!$A$7:$Q$88,11,0)</f>
        <v>0</v>
      </c>
      <c r="F44" s="7"/>
      <c r="G44" s="109">
        <f t="shared" si="0"/>
        <v>0</v>
      </c>
      <c r="H44" s="7"/>
      <c r="I44" s="68">
        <f>VLOOKUP(A44,'سود اوراق بهادار و سپرده بانکی'!$A$7:$Q$88,17,0)</f>
        <v>1557036986</v>
      </c>
      <c r="J44" s="7"/>
      <c r="K44" s="255">
        <f t="shared" si="1"/>
        <v>1.1336842003960323E-2</v>
      </c>
      <c r="L44" s="149"/>
    </row>
    <row r="45" spans="1:12">
      <c r="A45" s="254" t="s">
        <v>196</v>
      </c>
      <c r="B45" s="7"/>
      <c r="C45" s="211" t="s">
        <v>218</v>
      </c>
      <c r="D45" s="7"/>
      <c r="E45" s="68">
        <f>VLOOKUP(A45,'سود اوراق بهادار و سپرده بانکی'!$A$7:$Q$88,11,0)</f>
        <v>0</v>
      </c>
      <c r="F45" s="7"/>
      <c r="G45" s="109">
        <f t="shared" si="0"/>
        <v>0</v>
      </c>
      <c r="H45" s="7"/>
      <c r="I45" s="68">
        <f>VLOOKUP(A45,'سود اوراق بهادار و سپرده بانکی'!$A$7:$Q$88,17,0)</f>
        <v>11231995092.420561</v>
      </c>
      <c r="J45" s="7"/>
      <c r="K45" s="255">
        <f t="shared" si="1"/>
        <v>8.1780558135071568E-2</v>
      </c>
      <c r="L45" s="149"/>
    </row>
    <row r="46" spans="1:12">
      <c r="A46" s="254" t="s">
        <v>202</v>
      </c>
      <c r="B46" s="7"/>
      <c r="C46" s="211" t="s">
        <v>224</v>
      </c>
      <c r="D46" s="7"/>
      <c r="E46" s="68">
        <f>VLOOKUP(A46,'سود اوراق بهادار و سپرده بانکی'!$A$7:$Q$88,11,0)</f>
        <v>0</v>
      </c>
      <c r="F46" s="7"/>
      <c r="G46" s="109">
        <f t="shared" si="0"/>
        <v>0</v>
      </c>
      <c r="H46" s="7"/>
      <c r="I46" s="68">
        <f>VLOOKUP(A46,'سود اوراق بهادار و سپرده بانکی'!$A$7:$Q$88,17,0)</f>
        <v>7239254794.166666</v>
      </c>
      <c r="J46" s="7"/>
      <c r="K46" s="255">
        <f t="shared" si="1"/>
        <v>5.2709273168081182E-2</v>
      </c>
      <c r="L46" s="149"/>
    </row>
    <row r="47" spans="1:12">
      <c r="A47" s="254" t="s">
        <v>190</v>
      </c>
      <c r="B47" s="7"/>
      <c r="C47" s="211" t="s">
        <v>212</v>
      </c>
      <c r="D47" s="7"/>
      <c r="E47" s="68">
        <f>VLOOKUP(A47,'سود اوراق بهادار و سپرده بانکی'!$A$7:$Q$88,11,0)</f>
        <v>0</v>
      </c>
      <c r="F47" s="7"/>
      <c r="G47" s="109">
        <f t="shared" si="0"/>
        <v>0</v>
      </c>
      <c r="H47" s="7"/>
      <c r="I47" s="68">
        <f>VLOOKUP(A47,'سود اوراق بهادار و سپرده بانکی'!$A$7:$Q$88,17,0)</f>
        <v>1624808219.1666665</v>
      </c>
      <c r="J47" s="7"/>
      <c r="K47" s="255">
        <f t="shared" si="1"/>
        <v>1.1830286777419322E-2</v>
      </c>
      <c r="L47" s="149"/>
    </row>
    <row r="48" spans="1:12">
      <c r="A48" s="254" t="s">
        <v>193</v>
      </c>
      <c r="B48" s="7"/>
      <c r="C48" s="211" t="s">
        <v>215</v>
      </c>
      <c r="D48" s="7"/>
      <c r="E48" s="68">
        <f>VLOOKUP(A48,'سود اوراق بهادار و سپرده بانکی'!$A$7:$Q$88,11,0)</f>
        <v>0</v>
      </c>
      <c r="F48" s="7"/>
      <c r="G48" s="109">
        <f t="shared" si="0"/>
        <v>0</v>
      </c>
      <c r="H48" s="7"/>
      <c r="I48" s="68">
        <f>VLOOKUP(A48,'سود اوراق بهادار و سپرده بانکی'!$A$7:$Q$88,17,0)</f>
        <v>1130439363.2616823</v>
      </c>
      <c r="J48" s="7"/>
      <c r="K48" s="255">
        <f t="shared" si="1"/>
        <v>8.2307694496572478E-3</v>
      </c>
      <c r="L48" s="149"/>
    </row>
    <row r="49" spans="1:12">
      <c r="A49" s="254" t="s">
        <v>191</v>
      </c>
      <c r="B49" s="7"/>
      <c r="C49" s="211" t="s">
        <v>213</v>
      </c>
      <c r="D49" s="7"/>
      <c r="E49" s="68">
        <f>VLOOKUP(A49,'سود اوراق بهادار و سپرده بانکی'!$A$7:$Q$88,11,0)</f>
        <v>0</v>
      </c>
      <c r="F49" s="7"/>
      <c r="G49" s="109">
        <f t="shared" si="0"/>
        <v>0</v>
      </c>
      <c r="H49" s="7"/>
      <c r="I49" s="68">
        <f>VLOOKUP(A49,'سود اوراق بهادار و سپرده بانکی'!$A$7:$Q$88,17,0)</f>
        <v>1510273972</v>
      </c>
      <c r="J49" s="7"/>
      <c r="K49" s="255">
        <f t="shared" si="1"/>
        <v>1.0996358825902415E-2</v>
      </c>
      <c r="L49" s="149"/>
    </row>
    <row r="50" spans="1:12">
      <c r="A50" s="254" t="s">
        <v>199</v>
      </c>
      <c r="B50" s="7"/>
      <c r="C50" s="211" t="s">
        <v>221</v>
      </c>
      <c r="D50" s="7"/>
      <c r="E50" s="68">
        <f>VLOOKUP(A50,'سود اوراق بهادار و سپرده بانکی'!$A$7:$Q$88,11,0)</f>
        <v>0</v>
      </c>
      <c r="F50" s="7"/>
      <c r="G50" s="109">
        <f t="shared" si="0"/>
        <v>0</v>
      </c>
      <c r="H50" s="7"/>
      <c r="I50" s="68">
        <f>VLOOKUP(A50,'سود اوراق بهادار و سپرده بانکی'!$A$7:$Q$88,17,0)</f>
        <v>102914383</v>
      </c>
      <c r="J50" s="7"/>
      <c r="K50" s="255">
        <f t="shared" si="1"/>
        <v>7.4932330477476541E-4</v>
      </c>
      <c r="L50" s="149"/>
    </row>
    <row r="51" spans="1:12">
      <c r="A51" s="254" t="s">
        <v>197</v>
      </c>
      <c r="B51" s="7"/>
      <c r="C51" s="211" t="s">
        <v>219</v>
      </c>
      <c r="D51" s="7"/>
      <c r="E51" s="68">
        <f>VLOOKUP(A51,'سود اوراق بهادار و سپرده بانکی'!$A$7:$Q$88,11,0)</f>
        <v>0</v>
      </c>
      <c r="F51" s="7"/>
      <c r="G51" s="109">
        <f t="shared" si="0"/>
        <v>0</v>
      </c>
      <c r="H51" s="7"/>
      <c r="I51" s="68">
        <f>VLOOKUP(A51,'سود اوراق بهادار و سپرده بانکی'!$A$7:$Q$88,17,0)</f>
        <v>440228528</v>
      </c>
      <c r="J51" s="7"/>
      <c r="K51" s="255">
        <f t="shared" si="1"/>
        <v>3.2053196632106356E-3</v>
      </c>
      <c r="L51" s="149"/>
    </row>
    <row r="52" spans="1:12">
      <c r="A52" s="254" t="s">
        <v>206</v>
      </c>
      <c r="B52" s="7"/>
      <c r="C52" s="211" t="s">
        <v>228</v>
      </c>
      <c r="D52" s="7"/>
      <c r="E52" s="68">
        <f>VLOOKUP(A52,'سود اوراق بهادار و سپرده بانکی'!$A$7:$Q$88,11,0)</f>
        <v>0</v>
      </c>
      <c r="F52" s="7"/>
      <c r="G52" s="109">
        <f t="shared" si="0"/>
        <v>0</v>
      </c>
      <c r="H52" s="7"/>
      <c r="I52" s="68">
        <f>VLOOKUP(A52,'سود اوراق بهادار و سپرده بانکی'!$A$7:$Q$88,17,0)</f>
        <v>257307534</v>
      </c>
      <c r="J52" s="7"/>
      <c r="K52" s="255">
        <f t="shared" si="1"/>
        <v>1.8734653612053945E-3</v>
      </c>
      <c r="L52" s="149"/>
    </row>
    <row r="53" spans="1:12">
      <c r="A53" s="254" t="s">
        <v>203</v>
      </c>
      <c r="B53" s="7"/>
      <c r="C53" s="211" t="s">
        <v>225</v>
      </c>
      <c r="D53" s="7"/>
      <c r="E53" s="68">
        <f>VLOOKUP(A53,'سود اوراق بهادار و سپرده بانکی'!$A$7:$Q$88,11,0)</f>
        <v>9381304</v>
      </c>
      <c r="F53" s="7"/>
      <c r="G53" s="109">
        <f t="shared" si="0"/>
        <v>2.6858012143016457E-4</v>
      </c>
      <c r="H53" s="7"/>
      <c r="I53" s="68">
        <f>VLOOKUP(A53,'سود اوراق بهادار و سپرده بانکی'!$A$7:$Q$88,17,0)</f>
        <v>30956641</v>
      </c>
      <c r="J53" s="7"/>
      <c r="K53" s="255">
        <f t="shared" si="1"/>
        <v>2.2539641071205759E-4</v>
      </c>
      <c r="L53" s="149"/>
    </row>
    <row r="54" spans="1:12">
      <c r="A54" s="254" t="s">
        <v>194</v>
      </c>
      <c r="B54" s="7"/>
      <c r="C54" s="211" t="s">
        <v>216</v>
      </c>
      <c r="D54" s="7"/>
      <c r="E54" s="68">
        <f>VLOOKUP(A54,'سود اوراق بهادار و سپرده بانکی'!$A$7:$Q$88,11,0)</f>
        <v>0</v>
      </c>
      <c r="F54" s="7"/>
      <c r="G54" s="109">
        <f t="shared" si="0"/>
        <v>0</v>
      </c>
      <c r="H54" s="7"/>
      <c r="I54" s="68">
        <f>VLOOKUP(A54,'سود اوراق بهادار و سپرده بانکی'!$A$7:$Q$88,17,0)</f>
        <v>1828856712.4999998</v>
      </c>
      <c r="J54" s="7"/>
      <c r="K54" s="255">
        <f t="shared" si="1"/>
        <v>1.3315971157986856E-2</v>
      </c>
      <c r="L54" s="149"/>
    </row>
    <row r="55" spans="1:12">
      <c r="A55" s="254" t="s">
        <v>207</v>
      </c>
      <c r="B55" s="7"/>
      <c r="C55" s="211" t="s">
        <v>229</v>
      </c>
      <c r="D55" s="7"/>
      <c r="E55" s="68">
        <f>VLOOKUP(A55,'سود اوراق بهادار و سپرده بانکی'!$A$7:$Q$88,11,0)</f>
        <v>0</v>
      </c>
      <c r="F55" s="7"/>
      <c r="G55" s="109">
        <f t="shared" si="0"/>
        <v>0</v>
      </c>
      <c r="H55" s="7"/>
      <c r="I55" s="68">
        <f>VLOOKUP(A55,'سود اوراق بهادار و سپرده بانکی'!$A$7:$Q$88,17,0)</f>
        <v>687476712</v>
      </c>
      <c r="J55" s="7"/>
      <c r="K55" s="255">
        <f t="shared" si="1"/>
        <v>5.0055425371546914E-3</v>
      </c>
      <c r="L55" s="149"/>
    </row>
    <row r="56" spans="1:12">
      <c r="A56" s="254" t="s">
        <v>192</v>
      </c>
      <c r="B56" s="7"/>
      <c r="C56" s="211" t="s">
        <v>214</v>
      </c>
      <c r="D56" s="7"/>
      <c r="E56" s="68">
        <f>VLOOKUP(A56,'سود اوراق بهادار و سپرده بانکی'!$A$7:$Q$88,11,0)</f>
        <v>73084929</v>
      </c>
      <c r="F56" s="7"/>
      <c r="G56" s="109">
        <f t="shared" si="0"/>
        <v>2.0923700058685826E-3</v>
      </c>
      <c r="H56" s="7"/>
      <c r="I56" s="68">
        <f>VLOOKUP(A56,'سود اوراق بهادار و سپرده بانکی'!$A$7:$Q$88,17,0)</f>
        <v>241742466</v>
      </c>
      <c r="J56" s="7"/>
      <c r="K56" s="255">
        <f t="shared" si="1"/>
        <v>1.7601355441981454E-3</v>
      </c>
      <c r="L56" s="149"/>
    </row>
    <row r="57" spans="1:12">
      <c r="A57" s="254" t="s">
        <v>195</v>
      </c>
      <c r="B57" s="7"/>
      <c r="C57" s="211" t="s">
        <v>217</v>
      </c>
      <c r="D57" s="7"/>
      <c r="E57" s="68">
        <f>VLOOKUP(A57,'سود اوراق بهادار و سپرده بانکی'!$A$7:$Q$88,11,0)</f>
        <v>93813047</v>
      </c>
      <c r="F57" s="7"/>
      <c r="G57" s="109">
        <f t="shared" si="0"/>
        <v>2.6858014147067124E-3</v>
      </c>
      <c r="H57" s="7"/>
      <c r="I57" s="68">
        <f>VLOOKUP(A57,'سود اوراق بهادار و سپرده بانکی'!$A$7:$Q$88,17,0)</f>
        <v>278744560</v>
      </c>
      <c r="J57" s="7"/>
      <c r="K57" s="255">
        <f t="shared" si="1"/>
        <v>2.0295491145021767E-3</v>
      </c>
      <c r="L57" s="149"/>
    </row>
    <row r="58" spans="1:12">
      <c r="A58" s="254" t="s">
        <v>249</v>
      </c>
      <c r="B58" s="7"/>
      <c r="C58" s="211" t="s">
        <v>265</v>
      </c>
      <c r="D58" s="7"/>
      <c r="E58" s="68">
        <f>VLOOKUP(A58,'سود اوراق بهادار و سپرده بانکی'!$A$7:$Q$88,11,0)</f>
        <v>444786437</v>
      </c>
      <c r="F58" s="7"/>
      <c r="G58" s="109">
        <f t="shared" si="0"/>
        <v>1.2733922198870248E-2</v>
      </c>
      <c r="H58" s="7"/>
      <c r="I58" s="68">
        <f>VLOOKUP(A58,'سود اوراق بهادار و سپرده بانکی'!$A$7:$Q$88,17,0)</f>
        <v>1606818344</v>
      </c>
      <c r="J58" s="7"/>
      <c r="K58" s="255">
        <f t="shared" si="1"/>
        <v>1.1699301852674916E-2</v>
      </c>
      <c r="L58" s="149"/>
    </row>
    <row r="59" spans="1:12">
      <c r="A59" s="254" t="s">
        <v>250</v>
      </c>
      <c r="B59" s="7"/>
      <c r="C59" s="211" t="s">
        <v>266</v>
      </c>
      <c r="D59" s="7"/>
      <c r="E59" s="68">
        <f>VLOOKUP(A59,'سود اوراق بهادار و سپرده بانکی'!$A$7:$Q$88,11,0)</f>
        <v>0</v>
      </c>
      <c r="F59" s="7"/>
      <c r="G59" s="109">
        <f t="shared" si="0"/>
        <v>0</v>
      </c>
      <c r="H59" s="7"/>
      <c r="I59" s="68">
        <f>VLOOKUP(A59,'سود اوراق بهادار و سپرده بانکی'!$A$7:$Q$88,17,0)</f>
        <v>51047260</v>
      </c>
      <c r="J59" s="7"/>
      <c r="K59" s="255">
        <f t="shared" si="1"/>
        <v>3.7167692646903098E-4</v>
      </c>
      <c r="L59" s="149"/>
    </row>
    <row r="60" spans="1:12">
      <c r="A60" s="254" t="s">
        <v>245</v>
      </c>
      <c r="B60" s="7"/>
      <c r="C60" s="211" t="s">
        <v>261</v>
      </c>
      <c r="D60" s="7"/>
      <c r="E60" s="68">
        <f>VLOOKUP(A60,'سود اوراق بهادار و سپرده بانکی'!$A$7:$Q$88,11,0)</f>
        <v>56287826</v>
      </c>
      <c r="F60" s="7"/>
      <c r="G60" s="109">
        <f t="shared" si="0"/>
        <v>1.6114807858395779E-3</v>
      </c>
      <c r="H60" s="7"/>
      <c r="I60" s="68">
        <f>VLOOKUP(A60,'سود اوراق بهادار و سپرده بانکی'!$A$7:$Q$88,17,0)</f>
        <v>914986456</v>
      </c>
      <c r="J60" s="7"/>
      <c r="K60" s="255">
        <f t="shared" si="1"/>
        <v>6.662049123241311E-3</v>
      </c>
      <c r="L60" s="149"/>
    </row>
    <row r="61" spans="1:12">
      <c r="A61" s="254" t="s">
        <v>243</v>
      </c>
      <c r="B61" s="7"/>
      <c r="C61" s="211" t="s">
        <v>259</v>
      </c>
      <c r="D61" s="7"/>
      <c r="E61" s="68">
        <f>VLOOKUP(A61,'سود اوراق بهادار و سپرده بانکی'!$A$7:$Q$88,11,0)</f>
        <v>315999867</v>
      </c>
      <c r="F61" s="7"/>
      <c r="G61" s="109">
        <f t="shared" si="0"/>
        <v>9.0468534705597289E-3</v>
      </c>
      <c r="H61" s="7"/>
      <c r="I61" s="68">
        <f>VLOOKUP(A61,'سود اوراق بهادار و سپرده بانکی'!$A$7:$Q$88,17,0)</f>
        <v>1571910420</v>
      </c>
      <c r="J61" s="7"/>
      <c r="K61" s="255">
        <f t="shared" si="1"/>
        <v>1.1445136009067746E-2</v>
      </c>
      <c r="L61" s="149"/>
    </row>
    <row r="62" spans="1:12">
      <c r="A62" s="254" t="s">
        <v>242</v>
      </c>
      <c r="B62" s="7"/>
      <c r="C62" s="211" t="s">
        <v>258</v>
      </c>
      <c r="D62" s="7"/>
      <c r="E62" s="68">
        <f>VLOOKUP(A62,'سود اوراق بهادار و سپرده بانکی'!$A$7:$Q$88,11,0)</f>
        <v>83962678</v>
      </c>
      <c r="F62" s="7"/>
      <c r="G62" s="109">
        <f t="shared" si="0"/>
        <v>2.4037922929308984E-3</v>
      </c>
      <c r="H62" s="7"/>
      <c r="I62" s="68">
        <f>VLOOKUP(A62,'سود اوراق بهادار و سپرده بانکی'!$A$7:$Q$88,17,0)</f>
        <v>238442139</v>
      </c>
      <c r="J62" s="7"/>
      <c r="K62" s="255">
        <f t="shared" si="1"/>
        <v>1.7361057452294495E-3</v>
      </c>
      <c r="L62" s="149"/>
    </row>
    <row r="63" spans="1:12">
      <c r="A63" s="254" t="s">
        <v>241</v>
      </c>
      <c r="B63" s="7"/>
      <c r="C63" s="211" t="s">
        <v>257</v>
      </c>
      <c r="D63" s="7"/>
      <c r="E63" s="68">
        <f>VLOOKUP(A63,'سود اوراق بهادار و سپرده بانکی'!$A$7:$Q$88,11,0)</f>
        <v>37525220</v>
      </c>
      <c r="F63" s="7"/>
      <c r="G63" s="109">
        <f t="shared" si="0"/>
        <v>1.0743206002378392E-3</v>
      </c>
      <c r="H63" s="7"/>
      <c r="I63" s="68">
        <f>VLOOKUP(A63,'سود اوراق بهادار و سپرده بانکی'!$A$7:$Q$88,17,0)</f>
        <v>106566323</v>
      </c>
      <c r="J63" s="7"/>
      <c r="K63" s="255">
        <f t="shared" si="1"/>
        <v>7.7591321057674802E-4</v>
      </c>
      <c r="L63" s="149"/>
    </row>
    <row r="64" spans="1:12">
      <c r="A64" s="254" t="s">
        <v>239</v>
      </c>
      <c r="B64" s="7"/>
      <c r="C64" s="211" t="s">
        <v>255</v>
      </c>
      <c r="D64" s="7"/>
      <c r="E64" s="68">
        <f>VLOOKUP(A64,'سود اوراق بهادار و سپرده بانکی'!$A$7:$Q$88,11,0)</f>
        <v>0</v>
      </c>
      <c r="F64" s="7"/>
      <c r="G64" s="109">
        <f t="shared" si="0"/>
        <v>0</v>
      </c>
      <c r="H64" s="7"/>
      <c r="I64" s="68">
        <f>VLOOKUP(A64,'سود اوراق بهادار و سپرده بانکی'!$A$7:$Q$88,17,0)</f>
        <v>22654110</v>
      </c>
      <c r="J64" s="7"/>
      <c r="K64" s="255">
        <f t="shared" si="1"/>
        <v>1.6494538544657125E-4</v>
      </c>
      <c r="L64" s="149"/>
    </row>
    <row r="65" spans="1:12">
      <c r="A65" s="254" t="s">
        <v>238</v>
      </c>
      <c r="B65" s="7"/>
      <c r="C65" s="211" t="s">
        <v>254</v>
      </c>
      <c r="D65" s="7"/>
      <c r="E65" s="68">
        <f>VLOOKUP(A65,'سود اوراق بهادار و سپرده بانکی'!$A$7:$Q$88,11,0)</f>
        <v>128523874</v>
      </c>
      <c r="F65" s="7"/>
      <c r="G65" s="109">
        <f t="shared" si="0"/>
        <v>3.6795479269827705E-3</v>
      </c>
      <c r="H65" s="7"/>
      <c r="I65" s="68">
        <f>VLOOKUP(A65,'سود اوراق بهادار و سپرده بانکی'!$A$7:$Q$88,17,0)</f>
        <v>364989634</v>
      </c>
      <c r="J65" s="7"/>
      <c r="K65" s="255">
        <f t="shared" si="1"/>
        <v>2.65750258404029E-3</v>
      </c>
      <c r="L65" s="149"/>
    </row>
    <row r="66" spans="1:12">
      <c r="A66" s="254" t="s">
        <v>251</v>
      </c>
      <c r="B66" s="7"/>
      <c r="C66" s="211" t="s">
        <v>267</v>
      </c>
      <c r="D66" s="7"/>
      <c r="E66" s="68">
        <f>VLOOKUP(A66,'سود اوراق بهادار و سپرده بانکی'!$A$7:$Q$88,11,0)</f>
        <v>41090114</v>
      </c>
      <c r="F66" s="7"/>
      <c r="G66" s="109">
        <f t="shared" si="0"/>
        <v>1.1763810028647729E-3</v>
      </c>
      <c r="H66" s="7"/>
      <c r="I66" s="68">
        <f>VLOOKUP(A66,'سود اوراق بهادار و سپرده بانکی'!$A$7:$Q$88,17,0)</f>
        <v>116690114</v>
      </c>
      <c r="J66" s="7"/>
      <c r="K66" s="255">
        <f t="shared" si="1"/>
        <v>8.4962489506470757E-4</v>
      </c>
      <c r="L66" s="149"/>
    </row>
    <row r="67" spans="1:12">
      <c r="A67" s="254" t="s">
        <v>246</v>
      </c>
      <c r="B67" s="7"/>
      <c r="C67" s="211" t="s">
        <v>262</v>
      </c>
      <c r="D67" s="7"/>
      <c r="E67" s="68">
        <f>VLOOKUP(A67,'سود اوراق بهادار و سپرده بانکی'!$A$7:$Q$88,11,0)</f>
        <v>4690655</v>
      </c>
      <c r="F67" s="7"/>
      <c r="G67" s="109">
        <f t="shared" si="0"/>
        <v>1.3429014660296785E-4</v>
      </c>
      <c r="H67" s="7"/>
      <c r="I67" s="68">
        <f>VLOOKUP(A67,'سود اوراق بهادار و سپرده بانکی'!$A$7:$Q$88,17,0)</f>
        <v>13320802</v>
      </c>
      <c r="J67" s="7"/>
      <c r="K67" s="255">
        <f t="shared" si="1"/>
        <v>9.6989235964134424E-5</v>
      </c>
      <c r="L67" s="149"/>
    </row>
    <row r="68" spans="1:12">
      <c r="A68" s="254" t="s">
        <v>247</v>
      </c>
      <c r="B68" s="7"/>
      <c r="C68" s="211" t="s">
        <v>263</v>
      </c>
      <c r="D68" s="7"/>
      <c r="E68" s="68">
        <f>VLOOKUP(A68,'سود اوراق بهادار و سپرده بانکی'!$A$7:$Q$88,11,0)</f>
        <v>0</v>
      </c>
      <c r="F68" s="7"/>
      <c r="G68" s="109">
        <f t="shared" si="0"/>
        <v>0</v>
      </c>
      <c r="H68" s="7"/>
      <c r="I68" s="68">
        <f>VLOOKUP(A68,'سود اوراق بهادار و سپرده بانکی'!$A$7:$Q$88,17,0)</f>
        <v>5424657534</v>
      </c>
      <c r="J68" s="7"/>
      <c r="K68" s="255">
        <f t="shared" si="1"/>
        <v>3.9497125592719236E-2</v>
      </c>
      <c r="L68" s="149"/>
    </row>
    <row r="69" spans="1:12">
      <c r="A69" s="254" t="s">
        <v>237</v>
      </c>
      <c r="B69" s="7"/>
      <c r="C69" s="211" t="s">
        <v>253</v>
      </c>
      <c r="D69" s="7"/>
      <c r="E69" s="68">
        <f>VLOOKUP(A69,'سود اوراق بهادار و سپرده بانکی'!$A$7:$Q$88,11,0)</f>
        <v>1388433084</v>
      </c>
      <c r="F69" s="7"/>
      <c r="G69" s="109">
        <f t="shared" si="0"/>
        <v>3.9749860605559517E-2</v>
      </c>
      <c r="H69" s="7"/>
      <c r="I69" s="68">
        <f>VLOOKUP(A69,'سود اوراق بهادار و سپرده بانکی'!$A$7:$Q$88,17,0)</f>
        <v>9448981021</v>
      </c>
      <c r="J69" s="7"/>
      <c r="K69" s="255">
        <f t="shared" si="1"/>
        <v>6.8798368886978184E-2</v>
      </c>
      <c r="L69" s="149"/>
    </row>
    <row r="70" spans="1:12">
      <c r="A70" s="254" t="s">
        <v>252</v>
      </c>
      <c r="B70" s="7"/>
      <c r="C70" s="211" t="s">
        <v>268</v>
      </c>
      <c r="D70" s="7"/>
      <c r="E70" s="68">
        <f>VLOOKUP(A70,'سود اوراق بهادار و سپرده بانکی'!$A$7:$Q$88,11,0)</f>
        <v>0</v>
      </c>
      <c r="F70" s="7"/>
      <c r="G70" s="109">
        <f t="shared" si="0"/>
        <v>0</v>
      </c>
      <c r="H70" s="7"/>
      <c r="I70" s="68">
        <f>VLOOKUP(A70,'سود اوراق بهادار و سپرده بانکی'!$A$7:$Q$88,17,0)</f>
        <v>292561643</v>
      </c>
      <c r="J70" s="7"/>
      <c r="K70" s="255">
        <f t="shared" si="1"/>
        <v>2.1301517901836432E-3</v>
      </c>
      <c r="L70" s="149"/>
    </row>
    <row r="71" spans="1:12">
      <c r="A71" s="254" t="s">
        <v>248</v>
      </c>
      <c r="B71" s="7"/>
      <c r="C71" s="211" t="s">
        <v>264</v>
      </c>
      <c r="D71" s="7"/>
      <c r="E71" s="68">
        <f>VLOOKUP(A71,'سود اوراق بهادار و سپرده بانکی'!$A$7:$Q$88,11,0)</f>
        <v>38932420</v>
      </c>
      <c r="F71" s="7"/>
      <c r="G71" s="109">
        <f t="shared" si="0"/>
        <v>1.1146077444212626E-3</v>
      </c>
      <c r="H71" s="7"/>
      <c r="I71" s="68">
        <f>VLOOKUP(A71,'سود اوراق بهادار و سپرده بانکی'!$A$7:$Q$88,17,0)</f>
        <v>101608797</v>
      </c>
      <c r="J71" s="7"/>
      <c r="K71" s="255">
        <f t="shared" si="1"/>
        <v>7.398172863964823E-4</v>
      </c>
      <c r="L71" s="149"/>
    </row>
    <row r="72" spans="1:12">
      <c r="A72" s="254" t="s">
        <v>244</v>
      </c>
      <c r="B72" s="7"/>
      <c r="C72" s="211" t="s">
        <v>260</v>
      </c>
      <c r="D72" s="7"/>
      <c r="E72" s="68">
        <f>VLOOKUP(A72,'سود اوراق بهادار و سپرده بانکی'!$A$7:$Q$88,11,0)</f>
        <v>162896976</v>
      </c>
      <c r="F72" s="7"/>
      <c r="G72" s="109">
        <f t="shared" si="0"/>
        <v>4.663625610542693E-3</v>
      </c>
      <c r="H72" s="7"/>
      <c r="I72" s="68">
        <f>VLOOKUP(A72,'سود اوراق بهادار و سپرده بانکی'!$A$7:$Q$88,17,0)</f>
        <v>425140952</v>
      </c>
      <c r="J72" s="7"/>
      <c r="K72" s="255">
        <f t="shared" si="1"/>
        <v>3.0954664825394709E-3</v>
      </c>
      <c r="L72" s="149"/>
    </row>
    <row r="73" spans="1:12">
      <c r="A73" s="254" t="s">
        <v>270</v>
      </c>
      <c r="B73" s="7"/>
      <c r="C73" s="211" t="s">
        <v>277</v>
      </c>
      <c r="D73" s="7"/>
      <c r="E73" s="68">
        <f>VLOOKUP(A73,'سود اوراق بهادار و سپرده بانکی'!$A$7:$Q$88,11,0)</f>
        <v>308219181.5454545</v>
      </c>
      <c r="F73" s="7"/>
      <c r="G73" s="109">
        <f t="shared" ref="G73:G84" si="2">E73/$E$85</f>
        <v>8.8240979299449331E-3</v>
      </c>
      <c r="H73" s="7"/>
      <c r="I73" s="68">
        <f>VLOOKUP(A73,'سود اوراق بهادار و سپرده بانکی'!$A$7:$Q$88,17,0)</f>
        <v>6780821916.272727</v>
      </c>
      <c r="J73" s="7"/>
      <c r="K73" s="255">
        <f t="shared" ref="K73:K84" si="3">I73/$I$85</f>
        <v>4.9371406981963226E-2</v>
      </c>
      <c r="L73" s="149"/>
    </row>
    <row r="74" spans="1:12">
      <c r="A74" s="254" t="s">
        <v>275</v>
      </c>
      <c r="B74" s="7"/>
      <c r="C74" s="211" t="s">
        <v>282</v>
      </c>
      <c r="D74" s="7"/>
      <c r="E74" s="68">
        <f>VLOOKUP(A74,'سود اوراق بهادار و سپرده بانکی'!$A$7:$Q$88,11,0)</f>
        <v>259679239</v>
      </c>
      <c r="F74" s="7"/>
      <c r="G74" s="109">
        <f t="shared" si="2"/>
        <v>7.4344335865795131E-3</v>
      </c>
      <c r="H74" s="7"/>
      <c r="I74" s="68">
        <f>VLOOKUP(A74,'سود اوراق بهادار و سپرده بانکی'!$A$7:$Q$88,17,0)</f>
        <v>367062801</v>
      </c>
      <c r="J74" s="7"/>
      <c r="K74" s="255">
        <f t="shared" si="3"/>
        <v>2.6725973871426899E-3</v>
      </c>
      <c r="L74" s="149"/>
    </row>
    <row r="75" spans="1:12">
      <c r="A75" s="254" t="s">
        <v>272</v>
      </c>
      <c r="B75" s="7"/>
      <c r="C75" s="209" t="s">
        <v>279</v>
      </c>
      <c r="D75" s="7"/>
      <c r="E75" s="68">
        <f>VLOOKUP(A75,'سود اوراق بهادار و سپرده بانکی'!$A$7:$Q$88,11,0)</f>
        <v>232548567</v>
      </c>
      <c r="F75" s="7"/>
      <c r="G75" s="109">
        <f t="shared" si="2"/>
        <v>6.6577015693416149E-3</v>
      </c>
      <c r="H75" s="7"/>
      <c r="I75" s="68">
        <f>VLOOKUP(A75,'سود اوراق بهادار و سپرده بانکی'!$A$7:$Q$88,17,0)</f>
        <v>328712947</v>
      </c>
      <c r="J75" s="7"/>
      <c r="K75" s="255">
        <f t="shared" si="3"/>
        <v>2.3933707280574409E-3</v>
      </c>
      <c r="L75" s="149"/>
    </row>
    <row r="76" spans="1:12">
      <c r="A76" s="254" t="s">
        <v>276</v>
      </c>
      <c r="B76" s="7"/>
      <c r="C76" s="209" t="s">
        <v>283</v>
      </c>
      <c r="D76" s="7"/>
      <c r="E76" s="68">
        <f>VLOOKUP(A76,'سود اوراق بهادار و سپرده بانکی'!$A$7:$Q$88,11,0)</f>
        <v>13417380327.157896</v>
      </c>
      <c r="F76" s="7"/>
      <c r="G76" s="109">
        <f t="shared" si="2"/>
        <v>0.38413014198695289</v>
      </c>
      <c r="H76" s="7"/>
      <c r="I76" s="68">
        <f>VLOOKUP(A76,'سود اوراق بهادار و سپرده بانکی'!$A$7:$Q$88,17,0)</f>
        <v>17827477262.578949</v>
      </c>
      <c r="J76" s="7"/>
      <c r="K76" s="255">
        <f t="shared" si="3"/>
        <v>0.12980249979434502</v>
      </c>
      <c r="L76" s="149"/>
    </row>
    <row r="77" spans="1:12">
      <c r="A77" s="254" t="s">
        <v>273</v>
      </c>
      <c r="B77" s="7"/>
      <c r="C77" s="209" t="s">
        <v>280</v>
      </c>
      <c r="D77" s="7"/>
      <c r="E77" s="68">
        <f>VLOOKUP(A77,'سود اوراق بهادار و سپرده بانکی'!$A$7:$Q$88,11,0)</f>
        <v>1715045728</v>
      </c>
      <c r="F77" s="7"/>
      <c r="G77" s="109">
        <f t="shared" si="2"/>
        <v>4.9100550401577972E-2</v>
      </c>
      <c r="H77" s="7"/>
      <c r="I77" s="68">
        <f>VLOOKUP(A77,'سود اوراق بهادار و سپرده بانکی'!$A$7:$Q$88,17,0)</f>
        <v>2042374498</v>
      </c>
      <c r="J77" s="7"/>
      <c r="K77" s="255">
        <f t="shared" si="3"/>
        <v>1.4870601793619678E-2</v>
      </c>
      <c r="L77" s="149"/>
    </row>
    <row r="78" spans="1:12">
      <c r="A78" s="254" t="s">
        <v>274</v>
      </c>
      <c r="B78" s="7"/>
      <c r="C78" s="209" t="s">
        <v>281</v>
      </c>
      <c r="D78" s="7"/>
      <c r="E78" s="68">
        <f>VLOOKUP(A78,'سود اوراق بهادار و سپرده بانکی'!$A$7:$Q$88,11,0)</f>
        <v>908295970</v>
      </c>
      <c r="F78" s="7"/>
      <c r="G78" s="109">
        <f t="shared" si="2"/>
        <v>2.60038734398895E-2</v>
      </c>
      <c r="H78" s="7"/>
      <c r="I78" s="68">
        <f>VLOOKUP(A78,'سود اوراق بهادار و سپرده بانکی'!$A$7:$Q$88,17,0)</f>
        <v>937188436</v>
      </c>
      <c r="J78" s="7"/>
      <c r="K78" s="255">
        <f t="shared" si="3"/>
        <v>6.8237025339812196E-3</v>
      </c>
      <c r="L78" s="149"/>
    </row>
    <row r="79" spans="1:12">
      <c r="A79" s="254" t="s">
        <v>271</v>
      </c>
      <c r="B79" s="7"/>
      <c r="C79" s="209" t="s">
        <v>278</v>
      </c>
      <c r="D79" s="155"/>
      <c r="E79" s="68">
        <f>VLOOKUP(A79,'سود اوراق بهادار و سپرده بانکی'!$A$7:$Q$88,11,0)</f>
        <v>118212191</v>
      </c>
      <c r="F79" s="155"/>
      <c r="G79" s="109">
        <f t="shared" si="2"/>
        <v>3.3843317105282816E-3</v>
      </c>
      <c r="H79" s="155"/>
      <c r="I79" s="68">
        <f>VLOOKUP(A79,'سود اوراق بهادار و سپرده بانکی'!$A$7:$Q$88,17,0)</f>
        <v>121972465</v>
      </c>
      <c r="J79" s="155"/>
      <c r="K79" s="255">
        <f t="shared" si="3"/>
        <v>8.8808588169181758E-4</v>
      </c>
      <c r="L79" s="149"/>
    </row>
    <row r="80" spans="1:12">
      <c r="A80" s="254" t="s">
        <v>292</v>
      </c>
      <c r="B80" s="201"/>
      <c r="C80" s="209" t="s">
        <v>297</v>
      </c>
      <c r="D80" s="155"/>
      <c r="E80" s="68">
        <f>VLOOKUP(A80,'سود اوراق بهادار و سپرده بانکی'!$A$7:$Q$88,11,0)</f>
        <v>1407701101.8448277</v>
      </c>
      <c r="F80" s="155"/>
      <c r="G80" s="109">
        <f t="shared" si="2"/>
        <v>4.0301490376056494E-2</v>
      </c>
      <c r="H80" s="155"/>
      <c r="I80" s="68">
        <f>VLOOKUP(A80,'سود اوراق بهادار و سپرده بانکی'!$A$7:$Q$88,17,0)</f>
        <v>1407701101.8448277</v>
      </c>
      <c r="J80" s="155"/>
      <c r="K80" s="255">
        <f t="shared" si="3"/>
        <v>1.0249522088369755E-2</v>
      </c>
      <c r="L80" s="149"/>
    </row>
    <row r="81" spans="1:11">
      <c r="A81" s="254" t="s">
        <v>293</v>
      </c>
      <c r="C81" s="209" t="s">
        <v>298</v>
      </c>
      <c r="D81" s="155"/>
      <c r="E81" s="68">
        <f>VLOOKUP(A81,'سود اوراق بهادار و سپرده بانکی'!$A$7:$Q$88,11,0)</f>
        <v>2992882509.6379313</v>
      </c>
      <c r="F81" s="155"/>
      <c r="G81" s="109">
        <f t="shared" si="2"/>
        <v>8.5684116820515716E-2</v>
      </c>
      <c r="H81" s="155"/>
      <c r="I81" s="68">
        <f>VLOOKUP(A81,'سود اوراق بهادار و سپرده بانکی'!$A$7:$Q$88,17,0)</f>
        <v>2992882509.6379313</v>
      </c>
      <c r="J81" s="155"/>
      <c r="K81" s="255">
        <f t="shared" si="3"/>
        <v>2.1791284634378932E-2</v>
      </c>
    </row>
    <row r="82" spans="1:11">
      <c r="A82" s="254" t="s">
        <v>294</v>
      </c>
      <c r="C82" s="209" t="s">
        <v>299</v>
      </c>
      <c r="D82" s="155"/>
      <c r="E82" s="68">
        <f>VLOOKUP(A82,'سود اوراق بهادار و سپرده بانکی'!$A$7:$Q$88,11,0)</f>
        <v>3977208310.6551723</v>
      </c>
      <c r="F82" s="155"/>
      <c r="G82" s="109">
        <f t="shared" si="2"/>
        <v>0.1138646707354144</v>
      </c>
      <c r="H82" s="155"/>
      <c r="I82" s="68">
        <f>VLOOKUP(A82,'سود اوراق بهادار و سپرده بانکی'!$A$7:$Q$88,17,0)</f>
        <v>3977208310.6551723</v>
      </c>
      <c r="J82" s="155"/>
      <c r="K82" s="255">
        <f t="shared" si="3"/>
        <v>2.8958196009568414E-2</v>
      </c>
    </row>
    <row r="83" spans="1:11">
      <c r="A83" s="254" t="s">
        <v>295</v>
      </c>
      <c r="C83" s="253" t="s">
        <v>300</v>
      </c>
      <c r="E83" s="68">
        <f>VLOOKUP(A83,'سود اوراق بهادار و سپرده بانکی'!$A$7:$Q$88,11,0)</f>
        <v>101512977</v>
      </c>
      <c r="G83" s="109">
        <f t="shared" si="2"/>
        <v>2.9062449835755783E-3</v>
      </c>
      <c r="I83" s="68">
        <f>VLOOKUP(A83,'سود اوراق بهادار و سپرده بانکی'!$A$7:$Q$88,17,0)</f>
        <v>101512977</v>
      </c>
      <c r="K83" s="255">
        <f t="shared" si="3"/>
        <v>7.3911961754815898E-4</v>
      </c>
    </row>
    <row r="84" spans="1:11" ht="22.5" thickBot="1">
      <c r="A84" s="254" t="s">
        <v>296</v>
      </c>
      <c r="C84" s="253" t="s">
        <v>301</v>
      </c>
      <c r="E84" s="68">
        <f>VLOOKUP(A84,'سود اوراق بهادار و سپرده بانکی'!$A$7:$Q$88,11,0)</f>
        <v>254320512</v>
      </c>
      <c r="G84" s="109">
        <f t="shared" si="2"/>
        <v>7.2810170094841434E-3</v>
      </c>
      <c r="I84" s="68">
        <f>VLOOKUP(A84,'سود اوراق بهادار و سپرده بانکی'!$A$7:$Q$88,17,0)</f>
        <v>254320512</v>
      </c>
      <c r="K84" s="255">
        <f t="shared" si="3"/>
        <v>1.8517167471513714E-3</v>
      </c>
    </row>
    <row r="85" spans="1:11" ht="22.5" thickBot="1">
      <c r="A85" s="200" t="s">
        <v>2</v>
      </c>
      <c r="B85" s="201"/>
      <c r="D85" s="205"/>
      <c r="E85" s="270">
        <f>SUM(E8:E84)</f>
        <v>34929256677.841286</v>
      </c>
      <c r="F85" s="7"/>
      <c r="G85" s="103">
        <f>SUM(G8:G84)</f>
        <v>0.99999999999999989</v>
      </c>
      <c r="H85" s="7"/>
      <c r="I85" s="270">
        <f>SUM(I8:I84)</f>
        <v>137343096556.87863</v>
      </c>
      <c r="J85" s="7"/>
      <c r="K85" s="103">
        <f>SUM(K8:K84)</f>
        <v>0.99999999999999978</v>
      </c>
    </row>
    <row r="86" spans="1:11" ht="22.5" thickTop="1"/>
  </sheetData>
  <autoFilter ref="A7:L7" xr:uid="{00000000-0009-0000-0000-00000C000000}">
    <sortState xmlns:xlrd2="http://schemas.microsoft.com/office/spreadsheetml/2017/richdata2" ref="A8:L40">
      <sortCondition sortBy="cellColor" ref="I8:I40" dxfId="6"/>
      <sortCondition sortBy="cellColor" ref="E8:E40" dxfId="5"/>
      <sortCondition sortBy="cellColor" ref="E8:E40" dxfId="4"/>
      <sortCondition descending="1" sortBy="cellColor" ref="E8:E40" dxfId="3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4" type="noConversion"/>
  <conditionalFormatting sqref="A85">
    <cfRule type="duplicateValues" dxfId="1" priority="1"/>
  </conditionalFormatting>
  <conditionalFormatting sqref="A86:A1048576 A1:A84">
    <cfRule type="duplicateValues" dxfId="0" priority="2"/>
  </conditionalFormatting>
  <pageMargins left="0.7" right="0.7" top="0.75" bottom="0.75" header="0.3" footer="0.3"/>
  <pageSetup paperSize="9" scale="2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F0"/>
  </sheetPr>
  <dimension ref="A1:G12"/>
  <sheetViews>
    <sheetView rightToLeft="1" view="pageBreakPreview" zoomScale="130" zoomScaleNormal="100" zoomScaleSheetLayoutView="130" workbookViewId="0">
      <selection activeCell="C5" sqref="C5:E5"/>
    </sheetView>
  </sheetViews>
  <sheetFormatPr defaultColWidth="9.140625" defaultRowHeight="18"/>
  <cols>
    <col min="1" max="1" width="25.5703125" style="144" customWidth="1"/>
    <col min="2" max="2" width="1.42578125" style="144" customWidth="1"/>
    <col min="3" max="3" width="14.7109375" style="144" customWidth="1"/>
    <col min="4" max="4" width="0.85546875" style="144" customWidth="1"/>
    <col min="5" max="5" width="18.140625" style="144" customWidth="1"/>
    <col min="6" max="6" width="16.5703125" style="144" customWidth="1"/>
    <col min="7" max="16384" width="9.140625" style="144"/>
  </cols>
  <sheetData>
    <row r="1" spans="1:7" s="206" customFormat="1" ht="18.75">
      <c r="A1" s="323" t="s">
        <v>89</v>
      </c>
      <c r="B1" s="323"/>
      <c r="C1" s="323"/>
      <c r="D1" s="323"/>
      <c r="E1" s="323"/>
    </row>
    <row r="2" spans="1:7" s="206" customFormat="1" ht="18.75">
      <c r="A2" s="323" t="s">
        <v>56</v>
      </c>
      <c r="B2" s="323"/>
      <c r="C2" s="323"/>
      <c r="D2" s="323"/>
      <c r="E2" s="323"/>
    </row>
    <row r="3" spans="1:7" s="206" customFormat="1" ht="18.75">
      <c r="A3" s="323" t="str">
        <f>' سهام'!A3:W3</f>
        <v>برای ماه منتهی به 1403/01/31</v>
      </c>
      <c r="B3" s="323"/>
      <c r="C3" s="323"/>
      <c r="D3" s="323"/>
      <c r="E3" s="323"/>
    </row>
    <row r="4" spans="1:7" ht="18.75">
      <c r="A4" s="309" t="s">
        <v>31</v>
      </c>
      <c r="B4" s="309"/>
      <c r="C4" s="309"/>
      <c r="D4" s="309"/>
      <c r="E4" s="309"/>
    </row>
    <row r="5" spans="1:7" ht="40.5" customHeight="1" thickBot="1">
      <c r="A5" s="195"/>
      <c r="B5" s="196"/>
      <c r="C5" s="273" t="s">
        <v>289</v>
      </c>
      <c r="D5" s="274"/>
      <c r="E5" s="273" t="s">
        <v>291</v>
      </c>
    </row>
    <row r="6" spans="1:7" ht="18.75">
      <c r="A6" s="359"/>
      <c r="B6" s="360"/>
      <c r="C6" s="361" t="s">
        <v>6</v>
      </c>
      <c r="D6" s="197"/>
      <c r="E6" s="361" t="s">
        <v>6</v>
      </c>
    </row>
    <row r="7" spans="1:7" ht="18.75" thickBot="1">
      <c r="A7" s="360"/>
      <c r="B7" s="360"/>
      <c r="C7" s="363"/>
      <c r="D7" s="199"/>
      <c r="E7" s="363"/>
    </row>
    <row r="8" spans="1:7" ht="25.9" customHeight="1">
      <c r="A8" s="207" t="s">
        <v>134</v>
      </c>
      <c r="B8" s="7"/>
      <c r="C8" s="256">
        <v>0</v>
      </c>
      <c r="D8" s="68"/>
      <c r="E8" s="68">
        <v>10136842</v>
      </c>
    </row>
    <row r="9" spans="1:7" ht="18.75" thickBot="1">
      <c r="A9" s="208" t="s">
        <v>2</v>
      </c>
      <c r="B9" s="149"/>
      <c r="C9" s="271">
        <f>SUM(C8:C8)</f>
        <v>0</v>
      </c>
      <c r="D9" s="68"/>
      <c r="E9" s="272">
        <f>SUM(E8:E8)</f>
        <v>10136842</v>
      </c>
    </row>
    <row r="10" spans="1:7" ht="18.75" thickTop="1">
      <c r="D10" s="68"/>
    </row>
    <row r="12" spans="1:7">
      <c r="F12" s="179"/>
      <c r="G12" s="156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2019-05-29T09:35:10Z</cp:lastPrinted>
  <dcterms:created xsi:type="dcterms:W3CDTF">2017-11-22T14:26:20Z</dcterms:created>
  <dcterms:modified xsi:type="dcterms:W3CDTF">2024-04-23T13:47:32Z</dcterms:modified>
</cp:coreProperties>
</file>