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Y:\fund\7 صندوق ندای ثابت کیان\گزارش ماهانه\1403\05\"/>
    </mc:Choice>
  </mc:AlternateContent>
  <xr:revisionPtr revIDLastSave="0" documentId="13_ncr:1_{07BFEEEF-E489-42EE-B6A3-0E67943A2163}" xr6:coauthVersionLast="47" xr6:coauthVersionMax="47" xr10:uidLastSave="{00000000-0000-0000-0000-000000000000}"/>
  <bookViews>
    <workbookView xWindow="-120" yWindow="-120" windowWidth="24240" windowHeight="13140" tabRatio="911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اوراق بها" sheetId="6" r:id="rId8"/>
    <sheet name="مبالغ تخصیصی اوراق " sheetId="20" state="hidden" r:id="rId9"/>
    <sheet name="درآمد سپرده بانکی" sheetId="7" r:id="rId10"/>
    <sheet name="سود اوراق بهادار" sheetId="21" r:id="rId11"/>
    <sheet name="سود سپرده بانکی" sheetId="13" r:id="rId12"/>
    <sheet name="مبالغ تخصیصی اورراق " sheetId="22" r:id="rId13"/>
    <sheet name="سایر درآمدها" sheetId="8" r:id="rId14"/>
    <sheet name="درآمد سود سهام" sheetId="18" r:id="rId15"/>
    <sheet name="درآمد ناشی ازفروش" sheetId="15" r:id="rId16"/>
    <sheet name="درآمد ناشی از تغییر قیمت اوراق " sheetId="14" r:id="rId17"/>
  </sheets>
  <definedNames>
    <definedName name="_xlnm._FilterDatabase" localSheetId="1" hidden="1">' سهام'!$A$9:$W$9</definedName>
    <definedName name="_xlnm._FilterDatabase" localSheetId="9" hidden="1">'درآمد سپرده بانکی'!$A$7:$L$7</definedName>
    <definedName name="_xlnm._FilterDatabase" localSheetId="7" hidden="1">'درآمد سرمایه گذاری در اوراق بها'!$A$9:$Q$9</definedName>
    <definedName name="_xlnm._FilterDatabase" localSheetId="6" hidden="1">'درآمد سرمایه گذاری در سهام '!$A$10:$U$10</definedName>
    <definedName name="_xlnm._FilterDatabase" localSheetId="14" hidden="1">'درآمد سود سهام'!$A$7:$S$7</definedName>
    <definedName name="_xlnm._FilterDatabase" localSheetId="16" hidden="1">'درآمد ناشی از تغییر قیمت اوراق '!$A$6:$Q$6</definedName>
    <definedName name="_xlnm._FilterDatabase" localSheetId="15" hidden="1">'درآمد ناشی ازفروش'!$A$6:$Q$6</definedName>
    <definedName name="_xlnm._FilterDatabase" localSheetId="4" hidden="1">سپرده!$A$8:$L$34</definedName>
    <definedName name="_xlnm._FilterDatabase" localSheetId="10" hidden="1">'سود اوراق بهادار'!$A$6:$Q$12</definedName>
    <definedName name="_xlnm._FilterDatabase" localSheetId="11" hidden="1">'سود سپرده بانکی'!$A$6:$N$116</definedName>
    <definedName name="A" localSheetId="10">'سود اوراق بهادار'!$A$7:$Q$13</definedName>
    <definedName name="A">'سود سپرده بانکی'!$A$8:$N$116</definedName>
    <definedName name="_xlnm.Print_Area" localSheetId="1">' سهام'!$A$1:$W$12</definedName>
    <definedName name="_xlnm.Print_Area" localSheetId="2">اوراق!$A$1:$AG$16</definedName>
    <definedName name="_xlnm.Print_Area" localSheetId="3">'تعدیل اوراق'!$A$1:$M$12</definedName>
    <definedName name="_xlnm.Print_Area" localSheetId="9">'درآمد سپرده بانکی'!$A$1:$L$117</definedName>
    <definedName name="_xlnm.Print_Area" localSheetId="7">'درآمد سرمایه گذاری در اوراق بها'!$A$1:$Q$20</definedName>
    <definedName name="_xlnm.Print_Area" localSheetId="6">'درآمد سرمایه گذاری در سهام '!$A$1:$U$13</definedName>
    <definedName name="_xlnm.Print_Area" localSheetId="14">'درآمد سود سهام'!$A$1:$S$11</definedName>
    <definedName name="_xlnm.Print_Area" localSheetId="16">'درآمد ناشی از تغییر قیمت اوراق '!$A$1:$Q$15</definedName>
    <definedName name="_xlnm.Print_Area" localSheetId="15">'درآمد ناشی ازفروش'!$A$1:$Q$17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سپرده!$A$1:$K$35</definedName>
    <definedName name="_xlnm.Print_Area" localSheetId="10">'سود اوراق بهادار'!$A$1:$Q$13</definedName>
    <definedName name="_xlnm.Print_Area" localSheetId="11">'سود سپرده بانکی'!$A$1:$N$116</definedName>
    <definedName name="_xlnm.Print_Area" localSheetId="8">'مبالغ تخصیصی اوراق '!$A$1:$I$18</definedName>
    <definedName name="_xlnm.Print_Area" localSheetId="12">'مبالغ تخصیصی اورراق '!$A$1:$H$10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6">'درآمد ناشی از تغییر قیمت اوراق '!$5:$6</definedName>
    <definedName name="_xlnm.Print_Titles" localSheetId="15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5" l="1"/>
  <c r="Q8" i="15"/>
  <c r="Q9" i="15"/>
  <c r="Q10" i="15"/>
  <c r="Q11" i="15"/>
  <c r="Q12" i="15"/>
  <c r="Q13" i="15"/>
  <c r="Q14" i="15"/>
  <c r="K15" i="15" l="1"/>
  <c r="O17" i="6"/>
  <c r="E113" i="7" l="1"/>
  <c r="L9" i="2"/>
  <c r="I9" i="19"/>
  <c r="K11" i="19"/>
  <c r="K10" i="19"/>
  <c r="K9" i="19"/>
  <c r="Q8" i="14"/>
  <c r="Q9" i="14"/>
  <c r="Q10" i="14"/>
  <c r="Q11" i="14"/>
  <c r="Q12" i="14"/>
  <c r="Q7" i="14"/>
  <c r="I8" i="14"/>
  <c r="I9" i="14"/>
  <c r="I10" i="14"/>
  <c r="I11" i="14"/>
  <c r="I12" i="14"/>
  <c r="I7" i="14"/>
  <c r="O13" i="14"/>
  <c r="M13" i="14"/>
  <c r="G13" i="14"/>
  <c r="E13" i="14"/>
  <c r="Q15" i="15"/>
  <c r="I8" i="15"/>
  <c r="I9" i="15"/>
  <c r="I10" i="15"/>
  <c r="I11" i="15"/>
  <c r="I12" i="15"/>
  <c r="I13" i="15"/>
  <c r="I14" i="15"/>
  <c r="I7" i="15"/>
  <c r="I15" i="15" s="1"/>
  <c r="O15" i="15"/>
  <c r="M15" i="15"/>
  <c r="G15" i="15"/>
  <c r="E15" i="15"/>
  <c r="E9" i="8"/>
  <c r="C9" i="8"/>
  <c r="L116" i="13"/>
  <c r="F116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2" i="13"/>
  <c r="N23" i="13"/>
  <c r="N25" i="13"/>
  <c r="N26" i="13"/>
  <c r="N27" i="13"/>
  <c r="N28" i="13"/>
  <c r="N29" i="13"/>
  <c r="N30" i="13"/>
  <c r="N31" i="13"/>
  <c r="N32" i="13"/>
  <c r="N33" i="13"/>
  <c r="N34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7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7" i="13"/>
  <c r="O13" i="21"/>
  <c r="M13" i="21"/>
  <c r="I13" i="21"/>
  <c r="G13" i="21"/>
  <c r="Q8" i="21"/>
  <c r="Q9" i="21"/>
  <c r="Q10" i="21"/>
  <c r="Q11" i="21"/>
  <c r="Q12" i="21"/>
  <c r="Q7" i="21"/>
  <c r="Q13" i="21" s="1"/>
  <c r="K8" i="21"/>
  <c r="K9" i="21"/>
  <c r="K10" i="21"/>
  <c r="K11" i="21"/>
  <c r="K12" i="21"/>
  <c r="K7" i="21"/>
  <c r="K13" i="21" s="1"/>
  <c r="I13" i="14" l="1"/>
  <c r="Q13" i="14"/>
  <c r="E10" i="11"/>
  <c r="I34" i="2"/>
  <c r="G34" i="2"/>
  <c r="E34" i="2"/>
  <c r="C34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AG10" i="17"/>
  <c r="AG11" i="17"/>
  <c r="AG12" i="17"/>
  <c r="AG13" i="17"/>
  <c r="AG14" i="17"/>
  <c r="AG9" i="17"/>
  <c r="AE15" i="17"/>
  <c r="AC15" i="17"/>
  <c r="W15" i="17"/>
  <c r="T15" i="17"/>
  <c r="Q15" i="17"/>
  <c r="O15" i="17"/>
  <c r="E8" i="22"/>
  <c r="D8" i="22"/>
  <c r="AG15" i="17" l="1"/>
  <c r="K18" i="6"/>
  <c r="K16" i="6"/>
  <c r="K15" i="6"/>
  <c r="K10" i="6"/>
  <c r="E16" i="6" l="1"/>
  <c r="I16" i="6" s="1"/>
  <c r="J103" i="13" l="1"/>
  <c r="N103" i="13" s="1"/>
  <c r="J21" i="13"/>
  <c r="N21" i="13" s="1"/>
  <c r="J77" i="13"/>
  <c r="N77" i="13" s="1"/>
  <c r="J35" i="13"/>
  <c r="N35" i="13" s="1"/>
  <c r="J24" i="13"/>
  <c r="N24" i="13" s="1"/>
  <c r="J8" i="13"/>
  <c r="E8" i="7"/>
  <c r="D103" i="13"/>
  <c r="H103" i="13" s="1"/>
  <c r="D8" i="13"/>
  <c r="S16" i="13"/>
  <c r="V16" i="13" s="1"/>
  <c r="S15" i="13"/>
  <c r="T15" i="13" s="1"/>
  <c r="S106" i="13"/>
  <c r="T106" i="13" s="1"/>
  <c r="S107" i="13"/>
  <c r="T107" i="13" s="1"/>
  <c r="S108" i="13"/>
  <c r="V108" i="13" s="1"/>
  <c r="S109" i="13"/>
  <c r="T109" i="13" s="1"/>
  <c r="O106" i="13"/>
  <c r="O107" i="13"/>
  <c r="O108" i="13"/>
  <c r="O109" i="13"/>
  <c r="O110" i="13"/>
  <c r="O111" i="13"/>
  <c r="O112" i="13"/>
  <c r="O113" i="13"/>
  <c r="O115" i="13"/>
  <c r="O10" i="13"/>
  <c r="S7" i="13"/>
  <c r="T7" i="13" s="1"/>
  <c r="O7" i="13"/>
  <c r="H8" i="13" l="1"/>
  <c r="H116" i="13" s="1"/>
  <c r="D116" i="13"/>
  <c r="J116" i="13"/>
  <c r="N8" i="13"/>
  <c r="N116" i="13" s="1"/>
  <c r="T108" i="13"/>
  <c r="T16" i="13"/>
  <c r="U16" i="13" s="1"/>
  <c r="V7" i="13"/>
  <c r="W7" i="13"/>
  <c r="W107" i="13"/>
  <c r="V107" i="13"/>
  <c r="W106" i="13"/>
  <c r="V106" i="13"/>
  <c r="V109" i="13"/>
  <c r="W108" i="13"/>
  <c r="W109" i="13"/>
  <c r="I9" i="7" l="1"/>
  <c r="I10" i="7"/>
  <c r="I11" i="7"/>
  <c r="I12" i="7"/>
  <c r="I13" i="7"/>
  <c r="I14" i="7"/>
  <c r="I15" i="7"/>
  <c r="I16" i="7"/>
  <c r="I17" i="7"/>
  <c r="I18" i="7"/>
  <c r="I19" i="7"/>
  <c r="I20" i="7"/>
  <c r="I88" i="7"/>
  <c r="I89" i="7"/>
  <c r="I21" i="7"/>
  <c r="I22" i="7"/>
  <c r="I23" i="7"/>
  <c r="I24" i="7"/>
  <c r="I25" i="7"/>
  <c r="I26" i="7"/>
  <c r="I27" i="7"/>
  <c r="I30" i="7"/>
  <c r="I28" i="7"/>
  <c r="I29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8" i="7"/>
  <c r="E9" i="7"/>
  <c r="E10" i="7"/>
  <c r="E11" i="7"/>
  <c r="E12" i="7"/>
  <c r="E13" i="7"/>
  <c r="E14" i="7"/>
  <c r="E15" i="7"/>
  <c r="E16" i="7"/>
  <c r="E17" i="7"/>
  <c r="E18" i="7"/>
  <c r="E19" i="7"/>
  <c r="E20" i="7"/>
  <c r="E88" i="7"/>
  <c r="E89" i="7"/>
  <c r="E21" i="7"/>
  <c r="E22" i="7"/>
  <c r="E23" i="7"/>
  <c r="E24" i="7"/>
  <c r="E25" i="7"/>
  <c r="E26" i="7"/>
  <c r="E27" i="7"/>
  <c r="E30" i="7"/>
  <c r="E28" i="7"/>
  <c r="E29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4" i="7"/>
  <c r="E115" i="7"/>
  <c r="E116" i="7"/>
  <c r="G116" i="13"/>
  <c r="E116" i="13"/>
  <c r="S113" i="13"/>
  <c r="T113" i="13" s="1"/>
  <c r="S112" i="13"/>
  <c r="T112" i="13" s="1"/>
  <c r="S111" i="13"/>
  <c r="T111" i="13" s="1"/>
  <c r="S110" i="13"/>
  <c r="T110" i="13" s="1"/>
  <c r="S105" i="13"/>
  <c r="T105" i="13" s="1"/>
  <c r="O105" i="13"/>
  <c r="S104" i="13"/>
  <c r="T104" i="13" s="1"/>
  <c r="O104" i="13"/>
  <c r="S103" i="13"/>
  <c r="T103" i="13" s="1"/>
  <c r="O103" i="13"/>
  <c r="S102" i="13"/>
  <c r="T102" i="13" s="1"/>
  <c r="O102" i="13"/>
  <c r="S101" i="13"/>
  <c r="T101" i="13" s="1"/>
  <c r="O101" i="13"/>
  <c r="S100" i="13"/>
  <c r="T100" i="13" s="1"/>
  <c r="O100" i="13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32" i="2"/>
  <c r="K31" i="2"/>
  <c r="K30" i="2"/>
  <c r="K13" i="2"/>
  <c r="K12" i="2"/>
  <c r="K11" i="2"/>
  <c r="K10" i="2"/>
  <c r="O19" i="6"/>
  <c r="E117" i="7" l="1"/>
  <c r="G114" i="7" s="1"/>
  <c r="I117" i="7"/>
  <c r="K37" i="7" s="1"/>
  <c r="E9" i="11"/>
  <c r="V105" i="13"/>
  <c r="W102" i="13"/>
  <c r="W101" i="13"/>
  <c r="V110" i="13"/>
  <c r="W100" i="13"/>
  <c r="W104" i="13"/>
  <c r="W112" i="13"/>
  <c r="W103" i="13"/>
  <c r="W111" i="13"/>
  <c r="V113" i="13"/>
  <c r="W105" i="13"/>
  <c r="W113" i="13"/>
  <c r="W110" i="13"/>
  <c r="V111" i="13"/>
  <c r="V100" i="13"/>
  <c r="V101" i="13"/>
  <c r="V102" i="13"/>
  <c r="V103" i="13"/>
  <c r="V104" i="13"/>
  <c r="V112" i="13"/>
  <c r="M10" i="6"/>
  <c r="M18" i="6"/>
  <c r="Q18" i="6" s="1"/>
  <c r="M11" i="6"/>
  <c r="M17" i="6"/>
  <c r="E18" i="6"/>
  <c r="I18" i="6" s="1"/>
  <c r="E11" i="6"/>
  <c r="E17" i="6"/>
  <c r="E12" i="6"/>
  <c r="O11" i="6"/>
  <c r="O13" i="6"/>
  <c r="O12" i="6"/>
  <c r="O14" i="6"/>
  <c r="O15" i="6"/>
  <c r="Q15" i="6" s="1"/>
  <c r="G11" i="6"/>
  <c r="G13" i="6"/>
  <c r="G12" i="6"/>
  <c r="G14" i="6"/>
  <c r="G17" i="6"/>
  <c r="G15" i="6"/>
  <c r="I15" i="6" s="1"/>
  <c r="G19" i="6"/>
  <c r="K17" i="6"/>
  <c r="K11" i="6"/>
  <c r="K19" i="6"/>
  <c r="Q19" i="6" s="1"/>
  <c r="K13" i="6"/>
  <c r="K14" i="6"/>
  <c r="C11" i="6"/>
  <c r="C19" i="6"/>
  <c r="C12" i="6"/>
  <c r="C13" i="6"/>
  <c r="C14" i="6"/>
  <c r="I7" i="11"/>
  <c r="K33" i="2"/>
  <c r="K9" i="2"/>
  <c r="K34" i="2" s="1"/>
  <c r="I10" i="11"/>
  <c r="Q14" i="6" l="1"/>
  <c r="K72" i="7"/>
  <c r="K10" i="7"/>
  <c r="K36" i="7"/>
  <c r="K116" i="7"/>
  <c r="K111" i="7"/>
  <c r="G41" i="7"/>
  <c r="G12" i="7"/>
  <c r="I13" i="6"/>
  <c r="I14" i="6"/>
  <c r="Q13" i="6"/>
  <c r="I12" i="6"/>
  <c r="I19" i="6"/>
  <c r="Q17" i="6"/>
  <c r="K109" i="7"/>
  <c r="K107" i="7"/>
  <c r="K35" i="7"/>
  <c r="K76" i="7"/>
  <c r="G13" i="7"/>
  <c r="K9" i="7"/>
  <c r="K8" i="7"/>
  <c r="K38" i="7"/>
  <c r="G37" i="7"/>
  <c r="G82" i="7"/>
  <c r="K113" i="7"/>
  <c r="K65" i="7"/>
  <c r="K108" i="7"/>
  <c r="K44" i="7"/>
  <c r="G73" i="7"/>
  <c r="K33" i="7"/>
  <c r="G32" i="7"/>
  <c r="G64" i="7"/>
  <c r="K114" i="7"/>
  <c r="K42" i="7"/>
  <c r="G47" i="7"/>
  <c r="K43" i="7"/>
  <c r="G29" i="7"/>
  <c r="K74" i="7"/>
  <c r="G111" i="7"/>
  <c r="K39" i="7"/>
  <c r="G68" i="7"/>
  <c r="K34" i="7"/>
  <c r="K47" i="7"/>
  <c r="K78" i="7"/>
  <c r="G77" i="7"/>
  <c r="K73" i="7"/>
  <c r="G66" i="7"/>
  <c r="K80" i="7"/>
  <c r="G81" i="7"/>
  <c r="K69" i="7"/>
  <c r="G106" i="7"/>
  <c r="K40" i="7"/>
  <c r="K53" i="7"/>
  <c r="K84" i="7"/>
  <c r="G115" i="7"/>
  <c r="K79" i="7"/>
  <c r="G76" i="7"/>
  <c r="K112" i="7"/>
  <c r="K91" i="7"/>
  <c r="K75" i="7"/>
  <c r="G75" i="7"/>
  <c r="K70" i="7"/>
  <c r="G22" i="7"/>
  <c r="G83" i="7"/>
  <c r="G84" i="7"/>
  <c r="G36" i="7"/>
  <c r="K16" i="7"/>
  <c r="K86" i="7"/>
  <c r="G85" i="7"/>
  <c r="G30" i="7"/>
  <c r="K81" i="7"/>
  <c r="G80" i="7"/>
  <c r="G11" i="7"/>
  <c r="K12" i="7"/>
  <c r="G39" i="7"/>
  <c r="K20" i="7"/>
  <c r="K54" i="7"/>
  <c r="K98" i="7"/>
  <c r="G23" i="7"/>
  <c r="G59" i="7"/>
  <c r="G97" i="7"/>
  <c r="G110" i="7"/>
  <c r="K88" i="7"/>
  <c r="K55" i="7"/>
  <c r="K93" i="7"/>
  <c r="G14" i="7"/>
  <c r="G48" i="7"/>
  <c r="G92" i="7"/>
  <c r="K89" i="7"/>
  <c r="K56" i="7"/>
  <c r="K94" i="7"/>
  <c r="G88" i="7"/>
  <c r="G55" i="7"/>
  <c r="G93" i="7"/>
  <c r="G45" i="7"/>
  <c r="K41" i="7"/>
  <c r="G34" i="7"/>
  <c r="K17" i="7"/>
  <c r="K51" i="7"/>
  <c r="K87" i="7"/>
  <c r="G16" i="7"/>
  <c r="G50" i="7"/>
  <c r="G86" i="7"/>
  <c r="G21" i="7"/>
  <c r="K19" i="7"/>
  <c r="K103" i="7"/>
  <c r="K18" i="7"/>
  <c r="K52" i="7"/>
  <c r="K90" i="7"/>
  <c r="G57" i="7"/>
  <c r="K97" i="7"/>
  <c r="G72" i="7"/>
  <c r="G43" i="7"/>
  <c r="G17" i="7"/>
  <c r="G102" i="7"/>
  <c r="G38" i="7"/>
  <c r="G112" i="7"/>
  <c r="G52" i="7"/>
  <c r="K14" i="7"/>
  <c r="K92" i="7"/>
  <c r="G53" i="7"/>
  <c r="G98" i="7"/>
  <c r="K49" i="7"/>
  <c r="G42" i="7"/>
  <c r="K50" i="7"/>
  <c r="G49" i="7"/>
  <c r="G107" i="7"/>
  <c r="K45" i="7"/>
  <c r="G44" i="7"/>
  <c r="K13" i="7"/>
  <c r="K46" i="7"/>
  <c r="G96" i="7"/>
  <c r="K24" i="7"/>
  <c r="K60" i="7"/>
  <c r="K104" i="7"/>
  <c r="G28" i="7"/>
  <c r="G65" i="7"/>
  <c r="G103" i="7"/>
  <c r="G58" i="7"/>
  <c r="K25" i="7"/>
  <c r="K61" i="7"/>
  <c r="K99" i="7"/>
  <c r="G20" i="7"/>
  <c r="G54" i="7"/>
  <c r="G104" i="7"/>
  <c r="K26" i="7"/>
  <c r="K62" i="7"/>
  <c r="K100" i="7"/>
  <c r="G25" i="7"/>
  <c r="G61" i="7"/>
  <c r="G99" i="7"/>
  <c r="G63" i="7"/>
  <c r="K59" i="7"/>
  <c r="G46" i="7"/>
  <c r="K21" i="7"/>
  <c r="K57" i="7"/>
  <c r="K95" i="7"/>
  <c r="G89" i="7"/>
  <c r="G56" i="7"/>
  <c r="G94" i="7"/>
  <c r="G33" i="7"/>
  <c r="K23" i="7"/>
  <c r="K115" i="7"/>
  <c r="K22" i="7"/>
  <c r="K58" i="7"/>
  <c r="K96" i="7"/>
  <c r="G87" i="7"/>
  <c r="G9" i="7"/>
  <c r="G8" i="7"/>
  <c r="G79" i="7"/>
  <c r="G95" i="7"/>
  <c r="G74" i="7"/>
  <c r="G101" i="7"/>
  <c r="G108" i="7"/>
  <c r="K48" i="7"/>
  <c r="G19" i="7"/>
  <c r="G91" i="7"/>
  <c r="K15" i="7"/>
  <c r="K85" i="7"/>
  <c r="G78" i="7"/>
  <c r="G15" i="7"/>
  <c r="G27" i="7"/>
  <c r="K11" i="7"/>
  <c r="G10" i="7"/>
  <c r="K83" i="7"/>
  <c r="K82" i="7"/>
  <c r="K77" i="7"/>
  <c r="K29" i="7"/>
  <c r="K66" i="7"/>
  <c r="K110" i="7"/>
  <c r="G35" i="7"/>
  <c r="G71" i="7"/>
  <c r="G109" i="7"/>
  <c r="G90" i="7"/>
  <c r="K31" i="7"/>
  <c r="K67" i="7"/>
  <c r="K105" i="7"/>
  <c r="G24" i="7"/>
  <c r="G60" i="7"/>
  <c r="G116" i="7"/>
  <c r="K32" i="7"/>
  <c r="K68" i="7"/>
  <c r="K106" i="7"/>
  <c r="G31" i="7"/>
  <c r="G67" i="7"/>
  <c r="G105" i="7"/>
  <c r="G69" i="7"/>
  <c r="K71" i="7"/>
  <c r="G70" i="7"/>
  <c r="K27" i="7"/>
  <c r="K63" i="7"/>
  <c r="K101" i="7"/>
  <c r="G26" i="7"/>
  <c r="G62" i="7"/>
  <c r="G100" i="7"/>
  <c r="G51" i="7"/>
  <c r="K28" i="7"/>
  <c r="G40" i="7"/>
  <c r="K30" i="7"/>
  <c r="K64" i="7"/>
  <c r="K102" i="7"/>
  <c r="G113" i="7"/>
  <c r="G18" i="7"/>
  <c r="Q11" i="6"/>
  <c r="I11" i="6"/>
  <c r="C17" i="6"/>
  <c r="I17" i="6" s="1"/>
  <c r="K12" i="6"/>
  <c r="M12" i="6"/>
  <c r="Q12" i="6" l="1"/>
  <c r="K117" i="7"/>
  <c r="G117" i="7"/>
  <c r="C20" i="6"/>
  <c r="K20" i="6"/>
  <c r="O8" i="13" l="1"/>
  <c r="S8" i="13"/>
  <c r="T8" i="13" s="1"/>
  <c r="O9" i="13"/>
  <c r="S9" i="13"/>
  <c r="S10" i="13"/>
  <c r="T10" i="13" s="1"/>
  <c r="O11" i="13"/>
  <c r="S11" i="13"/>
  <c r="T11" i="13" s="1"/>
  <c r="O12" i="13"/>
  <c r="S12" i="13"/>
  <c r="T12" i="13" s="1"/>
  <c r="O13" i="13"/>
  <c r="S13" i="13"/>
  <c r="T13" i="13" s="1"/>
  <c r="O14" i="13"/>
  <c r="S14" i="13"/>
  <c r="T14" i="13" s="1"/>
  <c r="O35" i="13"/>
  <c r="S35" i="13"/>
  <c r="T35" i="13" s="1"/>
  <c r="O17" i="13"/>
  <c r="S17" i="13"/>
  <c r="T17" i="13" s="1"/>
  <c r="O18" i="13"/>
  <c r="S18" i="13"/>
  <c r="T18" i="13" s="1"/>
  <c r="O19" i="13"/>
  <c r="S19" i="13"/>
  <c r="T19" i="13" s="1"/>
  <c r="O20" i="13"/>
  <c r="S20" i="13"/>
  <c r="T20" i="13" s="1"/>
  <c r="O21" i="13"/>
  <c r="S21" i="13"/>
  <c r="T21" i="13" s="1"/>
  <c r="O22" i="13"/>
  <c r="S22" i="13"/>
  <c r="O24" i="13"/>
  <c r="S24" i="13"/>
  <c r="T24" i="13" s="1"/>
  <c r="O25" i="13"/>
  <c r="S25" i="13"/>
  <c r="T25" i="13" s="1"/>
  <c r="O26" i="13"/>
  <c r="S26" i="13"/>
  <c r="T26" i="13" s="1"/>
  <c r="O27" i="13"/>
  <c r="S27" i="13"/>
  <c r="T27" i="13" s="1"/>
  <c r="O28" i="13"/>
  <c r="S28" i="13"/>
  <c r="T28" i="13" s="1"/>
  <c r="O29" i="13"/>
  <c r="S29" i="13"/>
  <c r="T29" i="13" s="1"/>
  <c r="O30" i="13"/>
  <c r="S30" i="13"/>
  <c r="T30" i="13" s="1"/>
  <c r="O31" i="13"/>
  <c r="S31" i="13"/>
  <c r="T31" i="13" s="1"/>
  <c r="O32" i="13"/>
  <c r="S32" i="13"/>
  <c r="T32" i="13" s="1"/>
  <c r="O33" i="13"/>
  <c r="S33" i="13"/>
  <c r="T33" i="13" s="1"/>
  <c r="O15" i="13"/>
  <c r="O16" i="13"/>
  <c r="O34" i="13"/>
  <c r="S34" i="13"/>
  <c r="T34" i="13" s="1"/>
  <c r="O36" i="13"/>
  <c r="S36" i="13"/>
  <c r="T36" i="13" s="1"/>
  <c r="O37" i="13"/>
  <c r="S37" i="13"/>
  <c r="T37" i="13" s="1"/>
  <c r="O38" i="13"/>
  <c r="S38" i="13"/>
  <c r="T38" i="13" s="1"/>
  <c r="O39" i="13"/>
  <c r="S39" i="13"/>
  <c r="T39" i="13" s="1"/>
  <c r="O40" i="13"/>
  <c r="S40" i="13"/>
  <c r="T40" i="13" s="1"/>
  <c r="O41" i="13"/>
  <c r="S41" i="13"/>
  <c r="T41" i="13" s="1"/>
  <c r="O42" i="13"/>
  <c r="S42" i="13"/>
  <c r="T42" i="13" s="1"/>
  <c r="O43" i="13"/>
  <c r="S43" i="13"/>
  <c r="T43" i="13" s="1"/>
  <c r="O44" i="13"/>
  <c r="S44" i="13"/>
  <c r="T44" i="13" s="1"/>
  <c r="O45" i="13"/>
  <c r="S45" i="13"/>
  <c r="T45" i="13" s="1"/>
  <c r="O46" i="13"/>
  <c r="S46" i="13"/>
  <c r="T46" i="13" s="1"/>
  <c r="O47" i="13"/>
  <c r="S47" i="13"/>
  <c r="T47" i="13" s="1"/>
  <c r="O48" i="13"/>
  <c r="S48" i="13"/>
  <c r="T48" i="13" s="1"/>
  <c r="O49" i="13"/>
  <c r="S49" i="13"/>
  <c r="T49" i="13" s="1"/>
  <c r="O50" i="13"/>
  <c r="S50" i="13"/>
  <c r="T50" i="13" s="1"/>
  <c r="O51" i="13"/>
  <c r="S51" i="13"/>
  <c r="T51" i="13" s="1"/>
  <c r="O52" i="13"/>
  <c r="S52" i="13"/>
  <c r="T52" i="13" s="1"/>
  <c r="O53" i="13"/>
  <c r="S53" i="13"/>
  <c r="T53" i="13" s="1"/>
  <c r="O54" i="13"/>
  <c r="S54" i="13"/>
  <c r="T54" i="13" s="1"/>
  <c r="O55" i="13"/>
  <c r="S55" i="13"/>
  <c r="T55" i="13" s="1"/>
  <c r="O56" i="13"/>
  <c r="S56" i="13"/>
  <c r="T56" i="13" s="1"/>
  <c r="O57" i="13"/>
  <c r="S57" i="13"/>
  <c r="T57" i="13" s="1"/>
  <c r="O58" i="13"/>
  <c r="S58" i="13"/>
  <c r="T58" i="13" s="1"/>
  <c r="O59" i="13"/>
  <c r="S59" i="13"/>
  <c r="T59" i="13" s="1"/>
  <c r="O60" i="13"/>
  <c r="S60" i="13"/>
  <c r="T60" i="13" s="1"/>
  <c r="O61" i="13"/>
  <c r="S61" i="13"/>
  <c r="T61" i="13" s="1"/>
  <c r="O62" i="13"/>
  <c r="S62" i="13"/>
  <c r="T62" i="13" s="1"/>
  <c r="O63" i="13"/>
  <c r="S63" i="13"/>
  <c r="T63" i="13" s="1"/>
  <c r="O64" i="13"/>
  <c r="S64" i="13"/>
  <c r="T64" i="13" s="1"/>
  <c r="O65" i="13"/>
  <c r="S65" i="13"/>
  <c r="T65" i="13" s="1"/>
  <c r="O66" i="13"/>
  <c r="S66" i="13"/>
  <c r="T66" i="13" s="1"/>
  <c r="O67" i="13"/>
  <c r="S67" i="13"/>
  <c r="T67" i="13" s="1"/>
  <c r="O68" i="13"/>
  <c r="S68" i="13"/>
  <c r="T68" i="13" s="1"/>
  <c r="O69" i="13"/>
  <c r="S69" i="13"/>
  <c r="T69" i="13" s="1"/>
  <c r="O70" i="13"/>
  <c r="S70" i="13"/>
  <c r="T70" i="13" s="1"/>
  <c r="O71" i="13"/>
  <c r="S71" i="13"/>
  <c r="T71" i="13" s="1"/>
  <c r="O72" i="13"/>
  <c r="S72" i="13"/>
  <c r="T72" i="13" s="1"/>
  <c r="O73" i="13"/>
  <c r="S73" i="13"/>
  <c r="T73" i="13" s="1"/>
  <c r="O74" i="13"/>
  <c r="S74" i="13"/>
  <c r="T74" i="13" s="1"/>
  <c r="O75" i="13"/>
  <c r="S75" i="13"/>
  <c r="T75" i="13" s="1"/>
  <c r="O76" i="13"/>
  <c r="S76" i="13"/>
  <c r="T76" i="13" s="1"/>
  <c r="O77" i="13"/>
  <c r="S77" i="13"/>
  <c r="T77" i="13" s="1"/>
  <c r="O78" i="13"/>
  <c r="S78" i="13"/>
  <c r="T78" i="13" s="1"/>
  <c r="O79" i="13"/>
  <c r="S79" i="13"/>
  <c r="T79" i="13" s="1"/>
  <c r="O80" i="13"/>
  <c r="S80" i="13"/>
  <c r="T80" i="13" s="1"/>
  <c r="O81" i="13"/>
  <c r="S81" i="13"/>
  <c r="T81" i="13" s="1"/>
  <c r="O82" i="13"/>
  <c r="S82" i="13"/>
  <c r="T82" i="13" s="1"/>
  <c r="O83" i="13"/>
  <c r="S83" i="13"/>
  <c r="T83" i="13" s="1"/>
  <c r="O84" i="13"/>
  <c r="S84" i="13"/>
  <c r="T84" i="13" s="1"/>
  <c r="O85" i="13"/>
  <c r="S85" i="13"/>
  <c r="O86" i="13"/>
  <c r="S86" i="13"/>
  <c r="T86" i="13" s="1"/>
  <c r="O87" i="13"/>
  <c r="S87" i="13"/>
  <c r="T87" i="13" s="1"/>
  <c r="O88" i="13"/>
  <c r="S88" i="13"/>
  <c r="O89" i="13"/>
  <c r="S89" i="13"/>
  <c r="T89" i="13" s="1"/>
  <c r="O23" i="13"/>
  <c r="S23" i="13"/>
  <c r="T23" i="13" s="1"/>
  <c r="O90" i="13"/>
  <c r="S90" i="13"/>
  <c r="T90" i="13" s="1"/>
  <c r="O91" i="13"/>
  <c r="S91" i="13"/>
  <c r="T91" i="13" s="1"/>
  <c r="O92" i="13"/>
  <c r="S92" i="13"/>
  <c r="T92" i="13" s="1"/>
  <c r="O93" i="13"/>
  <c r="S93" i="13"/>
  <c r="T93" i="13" s="1"/>
  <c r="O94" i="13"/>
  <c r="S94" i="13"/>
  <c r="T94" i="13" s="1"/>
  <c r="O95" i="13"/>
  <c r="S95" i="13"/>
  <c r="T95" i="13" s="1"/>
  <c r="O96" i="13"/>
  <c r="S96" i="13"/>
  <c r="T96" i="13" s="1"/>
  <c r="O114" i="13"/>
  <c r="S114" i="13"/>
  <c r="T114" i="13" s="1"/>
  <c r="O97" i="13"/>
  <c r="S97" i="13"/>
  <c r="T97" i="13" s="1"/>
  <c r="O98" i="13"/>
  <c r="S98" i="13"/>
  <c r="T98" i="13" s="1"/>
  <c r="O99" i="13"/>
  <c r="S99" i="13"/>
  <c r="T99" i="13" s="1"/>
  <c r="S115" i="13"/>
  <c r="T115" i="13" s="1"/>
  <c r="U114" i="13" l="1"/>
  <c r="V84" i="13"/>
  <c r="V59" i="13"/>
  <c r="V9" i="13"/>
  <c r="T9" i="13"/>
  <c r="V47" i="13"/>
  <c r="V88" i="13"/>
  <c r="T88" i="13"/>
  <c r="V99" i="13"/>
  <c r="V85" i="13"/>
  <c r="T85" i="13"/>
  <c r="V19" i="13"/>
  <c r="V22" i="13"/>
  <c r="T22" i="13"/>
  <c r="V67" i="13"/>
  <c r="V76" i="13"/>
  <c r="V63" i="13"/>
  <c r="V43" i="13"/>
  <c r="V115" i="13"/>
  <c r="V51" i="13"/>
  <c r="V114" i="13"/>
  <c r="V91" i="13"/>
  <c r="V34" i="13"/>
  <c r="V32" i="13"/>
  <c r="V28" i="13"/>
  <c r="V14" i="13"/>
  <c r="V97" i="13"/>
  <c r="V95" i="13"/>
  <c r="V80" i="13"/>
  <c r="V71" i="13"/>
  <c r="V55" i="13"/>
  <c r="V39" i="13"/>
  <c r="V24" i="13"/>
  <c r="V98" i="13"/>
  <c r="V23" i="13"/>
  <c r="V82" i="13"/>
  <c r="V69" i="13"/>
  <c r="V61" i="13"/>
  <c r="V53" i="13"/>
  <c r="V45" i="13"/>
  <c r="V37" i="13"/>
  <c r="V30" i="13"/>
  <c r="V21" i="13"/>
  <c r="V35" i="13"/>
  <c r="V93" i="13"/>
  <c r="V86" i="13"/>
  <c r="V78" i="13"/>
  <c r="V73" i="13"/>
  <c r="V65" i="13"/>
  <c r="V57" i="13"/>
  <c r="V49" i="13"/>
  <c r="V41" i="13"/>
  <c r="V15" i="13"/>
  <c r="V26" i="13"/>
  <c r="V17" i="13"/>
  <c r="V96" i="13"/>
  <c r="V92" i="13"/>
  <c r="V89" i="13"/>
  <c r="V81" i="13"/>
  <c r="V77" i="13"/>
  <c r="V72" i="13"/>
  <c r="V68" i="13"/>
  <c r="V64" i="13"/>
  <c r="V60" i="13"/>
  <c r="V56" i="13"/>
  <c r="V52" i="13"/>
  <c r="V48" i="13"/>
  <c r="V44" i="13"/>
  <c r="V40" i="13"/>
  <c r="V36" i="13"/>
  <c r="V33" i="13"/>
  <c r="V29" i="13"/>
  <c r="V25" i="13"/>
  <c r="V20" i="13"/>
  <c r="V8" i="13"/>
  <c r="V74" i="13"/>
  <c r="V12" i="13"/>
  <c r="V11" i="13"/>
  <c r="V10" i="13"/>
  <c r="V94" i="13"/>
  <c r="V90" i="13"/>
  <c r="V87" i="13"/>
  <c r="V83" i="13"/>
  <c r="V79" i="13"/>
  <c r="V75" i="13"/>
  <c r="V70" i="13"/>
  <c r="V66" i="13"/>
  <c r="V62" i="13"/>
  <c r="V58" i="13"/>
  <c r="V54" i="13"/>
  <c r="V50" i="13"/>
  <c r="V46" i="13"/>
  <c r="V42" i="13"/>
  <c r="V38" i="13"/>
  <c r="V31" i="13"/>
  <c r="V27" i="13"/>
  <c r="V18" i="13"/>
  <c r="V13" i="13"/>
  <c r="W12" i="13"/>
  <c r="W10" i="13"/>
  <c r="W89" i="13"/>
  <c r="W98" i="13" l="1"/>
  <c r="W97" i="13"/>
  <c r="W96" i="13"/>
  <c r="W99" i="13"/>
  <c r="W95" i="13"/>
  <c r="W94" i="13"/>
  <c r="W93" i="13"/>
  <c r="W18" i="13"/>
  <c r="W25" i="13" l="1"/>
  <c r="W27" i="13"/>
  <c r="W115" i="13"/>
  <c r="W33" i="13" l="1"/>
  <c r="A3" i="8"/>
  <c r="W114" i="13" l="1"/>
  <c r="W92" i="13"/>
  <c r="W11" i="13"/>
  <c r="W23" i="13"/>
  <c r="W87" i="13"/>
  <c r="W83" i="13"/>
  <c r="W82" i="13"/>
  <c r="W80" i="13"/>
  <c r="W79" i="13"/>
  <c r="W78" i="13"/>
  <c r="W76" i="13"/>
  <c r="W75" i="13"/>
  <c r="W74" i="13"/>
  <c r="W72" i="13"/>
  <c r="W71" i="13"/>
  <c r="W70" i="13"/>
  <c r="W68" i="13"/>
  <c r="W67" i="13"/>
  <c r="W66" i="13"/>
  <c r="W64" i="13"/>
  <c r="W63" i="13"/>
  <c r="W62" i="13"/>
  <c r="W60" i="13"/>
  <c r="W59" i="13"/>
  <c r="W58" i="13"/>
  <c r="W56" i="13"/>
  <c r="W55" i="13"/>
  <c r="W54" i="13"/>
  <c r="W52" i="13"/>
  <c r="W51" i="13"/>
  <c r="W50" i="13"/>
  <c r="W48" i="13"/>
  <c r="W47" i="13"/>
  <c r="W46" i="13"/>
  <c r="W44" i="13"/>
  <c r="W43" i="13"/>
  <c r="W42" i="13"/>
  <c r="W41" i="13"/>
  <c r="W38" i="13"/>
  <c r="W37" i="13"/>
  <c r="W16" i="13"/>
  <c r="W15" i="13"/>
  <c r="W13" i="13"/>
  <c r="W22" i="13"/>
  <c r="W17" i="13"/>
  <c r="W21" i="13"/>
  <c r="W9" i="13"/>
  <c r="W24" i="13" l="1"/>
  <c r="W39" i="13"/>
  <c r="W90" i="13"/>
  <c r="W73" i="13"/>
  <c r="W85" i="13"/>
  <c r="W57" i="13"/>
  <c r="W19" i="13"/>
  <c r="W36" i="13"/>
  <c r="W69" i="13"/>
  <c r="W81" i="13"/>
  <c r="W34" i="13"/>
  <c r="W49" i="13"/>
  <c r="W65" i="13"/>
  <c r="W77" i="13"/>
  <c r="W84" i="13"/>
  <c r="W53" i="13"/>
  <c r="W40" i="13"/>
  <c r="W45" i="13"/>
  <c r="W61" i="13"/>
  <c r="W31" i="13"/>
  <c r="W91" i="13"/>
  <c r="W88" i="13"/>
  <c r="W86" i="13"/>
  <c r="W14" i="13"/>
  <c r="W20" i="13"/>
  <c r="W35" i="13"/>
  <c r="I9" i="11" l="1"/>
  <c r="W8" i="13"/>
  <c r="W32" i="13" l="1"/>
  <c r="D34" i="2" l="1"/>
  <c r="F34" i="2"/>
  <c r="H34" i="2"/>
  <c r="J34" i="2"/>
  <c r="L34" i="2" l="1"/>
  <c r="J13" i="21" l="1"/>
  <c r="F13" i="21"/>
  <c r="A3" i="21"/>
  <c r="W28" i="13" l="1"/>
  <c r="W29" i="13"/>
  <c r="W30" i="13"/>
  <c r="W26" i="13"/>
  <c r="I10" i="19"/>
  <c r="I11" i="19"/>
  <c r="E10" i="6" l="1"/>
  <c r="E20" i="6" l="1"/>
  <c r="O10" i="6"/>
  <c r="O20" i="6" l="1"/>
  <c r="Q10" i="6"/>
  <c r="G10" i="6"/>
  <c r="I10" i="6" l="1"/>
  <c r="I20" i="6" s="1"/>
  <c r="G20" i="6"/>
  <c r="M16" i="6" l="1"/>
  <c r="A3" i="13"/>
  <c r="Q16" i="6" l="1"/>
  <c r="Q20" i="6" s="1"/>
  <c r="E8" i="11" s="1"/>
  <c r="M20" i="6"/>
  <c r="C116" i="13"/>
  <c r="E11" i="11" l="1"/>
  <c r="I8" i="11"/>
  <c r="I11" i="11" s="1"/>
  <c r="I41" i="13"/>
  <c r="I116" i="13" s="1"/>
  <c r="G8" i="11" l="1"/>
  <c r="G7" i="11"/>
  <c r="G9" i="11"/>
  <c r="G10" i="11"/>
  <c r="C12" i="5"/>
  <c r="I11" i="5"/>
  <c r="I12" i="5" s="1"/>
  <c r="S11" i="5"/>
  <c r="S12" i="5" s="1"/>
  <c r="E12" i="5"/>
  <c r="M12" i="5"/>
  <c r="O12" i="5"/>
  <c r="G11" i="11" l="1"/>
  <c r="A3" i="19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U12" i="5" l="1"/>
  <c r="K12" i="5" l="1"/>
  <c r="J9" i="18" l="1"/>
  <c r="L9" i="18"/>
  <c r="N9" i="18"/>
  <c r="R9" i="18"/>
  <c r="D20" i="6" l="1"/>
  <c r="F20" i="6"/>
  <c r="H20" i="6"/>
  <c r="J20" i="6"/>
  <c r="L20" i="6"/>
  <c r="N20" i="6"/>
  <c r="P20" i="6"/>
  <c r="A3" i="14" l="1"/>
  <c r="A3" i="7" l="1"/>
  <c r="A3" i="6"/>
  <c r="A3" i="5"/>
  <c r="A3" i="15"/>
  <c r="A3" i="2" l="1"/>
  <c r="A3" i="11" l="1"/>
  <c r="A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<sst xmlns="http://schemas.openxmlformats.org/spreadsheetml/2006/main" count="712" uniqueCount="378">
  <si>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</si>
  <si>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</si>
  <si>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</si>
  <si>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</si>
  <si>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</si>
  <si>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</si>
  <si>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</si>
  <si>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</si>
  <si>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</si>
  <si>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</si>
  <si>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</si>
  <si>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</si>
  <si>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</si>
  <si>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</si>
  <si>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</si>
  <si>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</si>
  <si>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</si>
  <si>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</si>
  <si>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</si>
  <si>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</si>
  <si>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</si>
  <si>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</si>
  <si>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</si>
  <si>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</si>
  <si>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</si>
  <si>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</si>
  <si>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</si>
  <si>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</si>
  <si>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</si>
  <si>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</si>
  <si>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</si>
  <si>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</si>
  <si>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</si>
  <si>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</si>
  <si>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</si>
  <si>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</si>
  <si>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</si>
  <si>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</si>
  <si>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</si>
  <si>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</si>
  <si>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</si>
  <si>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</si>
  <si>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</si>
  <si>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</si>
  <si>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</si>
  <si>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</si>
  <si>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</si>
  <si>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</si>
  <si>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</si>
  <si>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</si>
  <si>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</si>
  <si>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</si>
  <si>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</si>
  <si>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</si>
  <si>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</si>
  <si>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</si>
  <si>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</si>
  <si>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</si>
  <si>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</si>
  <si>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</si>
  <si>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</si>
  <si>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</si>
  <si>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</si>
  <si>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</si>
  <si>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</si>
  <si>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</si>
  <si>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</si>
  <si>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</si>
  <si>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</si>
  <si>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</si>
  <si>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</si>
  <si>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</si>
  <si>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</si>
  <si>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</si>
  <si>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</si>
  <si>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</si>
  <si>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</si>
  <si>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</si>
  <si>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</si>
  <si>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</si>
  <si>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</si>
  <si>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</si>
  <si>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</si>
  <si>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درآمدها</t>
  </si>
  <si>
    <t>صندوق سرمایه گذاری ندای ثابت کیان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</si>
  <si>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</si>
  <si>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</si>
  <si>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</si>
  <si>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</si>
  <si>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</si>
  <si>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</si>
  <si>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</si>
  <si>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</si>
  <si>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</si>
  <si>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</si>
  <si>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864-810-3998429-1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</si>
  <si>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</si>
  <si>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0228580617005</t>
  </si>
  <si>
    <t>دارایی</t>
  </si>
  <si>
    <t>124-850-6867480-1</t>
  </si>
  <si>
    <t>0217918818004</t>
  </si>
  <si>
    <t>مسکن کوتاه مدت	-310058720239</t>
  </si>
  <si>
    <t>مسکن کوتاه مدت-4110001907768</t>
  </si>
  <si>
    <t>310058720239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</si>
  <si>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</si>
  <si>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</si>
  <si>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</si>
  <si>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</si>
  <si>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</si>
  <si>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مرابحه عام دولت69-ش.خ0310 (اراد69)</t>
  </si>
  <si>
    <t>1399/10/21</t>
  </si>
  <si>
    <t>1403/10/21</t>
  </si>
  <si>
    <t>سینا جاری-371452773001</t>
  </si>
  <si>
    <t>مسکن 5600931334082</t>
  </si>
  <si>
    <t>رفاه کوتاه مدت 359490219</t>
  </si>
  <si>
    <t>مسکن 5600931334074</t>
  </si>
  <si>
    <t>اقتصاد نوین 32-6867480-283-124</t>
  </si>
  <si>
    <t>124-283-6867480-32</t>
  </si>
  <si>
    <t>359490219</t>
  </si>
  <si>
    <t>5600931334074</t>
  </si>
  <si>
    <t>5600931334082</t>
  </si>
  <si>
    <t>درآمد حاصل از سرمایه­گذاری در سهام و حق تقدم سهام و صندوق‌های سرمایه‌گذاری</t>
  </si>
  <si>
    <t>تعدیل کارمزد کارگزاری</t>
  </si>
  <si>
    <t>مسکن 5600929334672</t>
  </si>
  <si>
    <t>اقتصادنوین - ۱۲۴.۲۸۳.۶۸۶۷۴۸۰.۳۶</t>
  </si>
  <si>
    <t>مسکن 5600929334698</t>
  </si>
  <si>
    <t>5600929334672</t>
  </si>
  <si>
    <t>124283686748036</t>
  </si>
  <si>
    <t>5600929334698</t>
  </si>
  <si>
    <t>مرابحه عام دولت3-ش.خ 0303 (اراد33)</t>
  </si>
  <si>
    <t>صکوک مرابحه غدیر504-3ماهه18% (صغدیر504)</t>
  </si>
  <si>
    <t>1403/03/27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</si>
  <si>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</si>
  <si>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</si>
  <si>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</si>
  <si>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</si>
  <si>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</si>
  <si>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124283686748038</t>
  </si>
  <si>
    <t>2093071522726814</t>
  </si>
  <si>
    <t>2093071522726813</t>
  </si>
  <si>
    <t>2093071522726815</t>
  </si>
  <si>
    <t>209306152272682</t>
  </si>
  <si>
    <t>مرابحه عام دولت142-ش.خ031009 (اراد142)</t>
  </si>
  <si>
    <t>1402/08/09</t>
  </si>
  <si>
    <t>1403/10/09</t>
  </si>
  <si>
    <t xml:space="preserve">پاسارگاد کوتاه مدت 2098100152272681	</t>
  </si>
  <si>
    <t>تجارت کوتاه مدت 104458815</t>
  </si>
  <si>
    <t>اقتصاد نوین 124283686748039</t>
  </si>
  <si>
    <t>پاسارگاد 2093071522726816</t>
  </si>
  <si>
    <t>بانک شهر 7001003214661</t>
  </si>
  <si>
    <t>پاسارگاد 209306152272683</t>
  </si>
  <si>
    <t>بانک صادرات 0406996080002</t>
  </si>
  <si>
    <t>تجارت بلندمدت 6174547090</t>
  </si>
  <si>
    <t>پاسارگاد 2093071522726817</t>
  </si>
  <si>
    <t>بانک شهر 7001003214649</t>
  </si>
  <si>
    <t>2098100152272681</t>
  </si>
  <si>
    <t>104458815</t>
  </si>
  <si>
    <t>124283686748039</t>
  </si>
  <si>
    <t>2093071522726816</t>
  </si>
  <si>
    <t>7001003214661</t>
  </si>
  <si>
    <t>209306152272683</t>
  </si>
  <si>
    <t>0406996080002</t>
  </si>
  <si>
    <t>6174547090</t>
  </si>
  <si>
    <t>2093071522726817</t>
  </si>
  <si>
    <t>7001003214649</t>
  </si>
  <si>
    <t>اسنادخزانه-م4بودجه01-040917 (اخزا104)</t>
  </si>
  <si>
    <t>مرابحه مادیران-کیان060626 (لوازم مادیران063)</t>
  </si>
  <si>
    <t>1401/12/08</t>
  </si>
  <si>
    <t>1404/09/17</t>
  </si>
  <si>
    <t>بانک شهر 7001003258763</t>
  </si>
  <si>
    <t>بانک شهر 7001003260318</t>
  </si>
  <si>
    <t>بانک شهر کوتاه مدت 7001003242019</t>
  </si>
  <si>
    <t xml:space="preserve">بانک شهر 7001003258678 </t>
  </si>
  <si>
    <t>اقتصاد نوین ۱۲۴۲۸۳۶۸۶۷۴۸۰۴۱</t>
  </si>
  <si>
    <t>بانک شهر 7001003316349</t>
  </si>
  <si>
    <t>بانک شهر 7001003356883</t>
  </si>
  <si>
    <t>مسکن 5600931334165</t>
  </si>
  <si>
    <t>بانک اقتصاد نوین ۱۲۴۲۸۳۶۸۶۷۴۸۰۴۲</t>
  </si>
  <si>
    <t>بانک شهر 7001003356893</t>
  </si>
  <si>
    <t>مسکن 5600929335463</t>
  </si>
  <si>
    <t>بانک شهر 7001003316357</t>
  </si>
  <si>
    <t>بانک شهر 7001003258822</t>
  </si>
  <si>
    <t>بانک شهر 7001003316350</t>
  </si>
  <si>
    <t>بانک شهر 7001003259908</t>
  </si>
  <si>
    <t>بانک شهر 7001003260834</t>
  </si>
  <si>
    <t>اقتصادنوین 124283686748040</t>
  </si>
  <si>
    <t>بانک شهر 7001003317861</t>
  </si>
  <si>
    <t xml:space="preserve">بانک شهر 7001003258695 </t>
  </si>
  <si>
    <t>بانک شهر 7001003260934</t>
  </si>
  <si>
    <t>بانک شهر 7001003316468</t>
  </si>
  <si>
    <t>بانک شهر 7001003345278</t>
  </si>
  <si>
    <t>7001003258763</t>
  </si>
  <si>
    <t>7001003260318</t>
  </si>
  <si>
    <t>7001003242019</t>
  </si>
  <si>
    <t>7001003258678</t>
  </si>
  <si>
    <t>124283686748041</t>
  </si>
  <si>
    <t>7001003316349</t>
  </si>
  <si>
    <t>7001003356883</t>
  </si>
  <si>
    <t>5600931334165</t>
  </si>
  <si>
    <t>124283686748042</t>
  </si>
  <si>
    <t>7001003356893</t>
  </si>
  <si>
    <t>5600929335463</t>
  </si>
  <si>
    <t>7001003316357</t>
  </si>
  <si>
    <t>7001003258822</t>
  </si>
  <si>
    <t>7001003316350</t>
  </si>
  <si>
    <t>7001003259908</t>
  </si>
  <si>
    <t>7001003260834</t>
  </si>
  <si>
    <t>124283686748040</t>
  </si>
  <si>
    <t>7001003317861</t>
  </si>
  <si>
    <t>7001003258695</t>
  </si>
  <si>
    <t>7001003260934</t>
  </si>
  <si>
    <t>7001003316468</t>
  </si>
  <si>
    <t>7001003345278</t>
  </si>
  <si>
    <t>اسنادخزانه-م7بودجه00-030912 (اخزا007)</t>
  </si>
  <si>
    <t>اسنادخزانه-م7بودجه01-040714 (اخزا107)</t>
  </si>
  <si>
    <t>1400/04/14</t>
  </si>
  <si>
    <t>1403/09/12</t>
  </si>
  <si>
    <t>بانک شهر 7001003400845</t>
  </si>
  <si>
    <t>بانک شهر 7001003374932</t>
  </si>
  <si>
    <t>بانک شهر 7001003374469</t>
  </si>
  <si>
    <t>بانک تجارت کوتاه مدت 24845478</t>
  </si>
  <si>
    <t>بانک شهر 7001003374403</t>
  </si>
  <si>
    <t>بانک شهر 7001003374230</t>
  </si>
  <si>
    <t>بانک شهر 7001003374148</t>
  </si>
  <si>
    <t>بانک شهر 7001003401283</t>
  </si>
  <si>
    <t>بانک شهر 7001003373974</t>
  </si>
  <si>
    <t>بانک شهر 7001003375223</t>
  </si>
  <si>
    <t>بانک تجارت 0479601842490</t>
  </si>
  <si>
    <t>بانک شهر 7001003400925</t>
  </si>
  <si>
    <t>بانک شهر 7001003359645</t>
  </si>
  <si>
    <t>بانک شهر 7001003373626</t>
  </si>
  <si>
    <t>بانک شهر 7001003374935</t>
  </si>
  <si>
    <t>بانک شهر 7001003400910</t>
  </si>
  <si>
    <t>7001003400845</t>
  </si>
  <si>
    <t>7001003374932</t>
  </si>
  <si>
    <t>7001003374469</t>
  </si>
  <si>
    <t>7001003374403</t>
  </si>
  <si>
    <t>7001003374230</t>
  </si>
  <si>
    <t>7001003374148</t>
  </si>
  <si>
    <t>7001003401283</t>
  </si>
  <si>
    <t>7001003373974</t>
  </si>
  <si>
    <t>7001003375223</t>
  </si>
  <si>
    <t>0479601842490</t>
  </si>
  <si>
    <t>7001003400925</t>
  </si>
  <si>
    <t>7001003359645</t>
  </si>
  <si>
    <t>7001003373626</t>
  </si>
  <si>
    <t>7001003374935</t>
  </si>
  <si>
    <t>7001003400910</t>
  </si>
  <si>
    <t>بانک تجارت 0479601842568</t>
  </si>
  <si>
    <t>بانک شهر  7001003572607</t>
  </si>
  <si>
    <t>بانک شهر 7001003527830</t>
  </si>
  <si>
    <t>بانک شهر 7001003556987</t>
  </si>
  <si>
    <t>بانک شهر 7001003572558</t>
  </si>
  <si>
    <t>بانک شهر ۷۰۰۱۰۰۳۵۲۷۹۱۸</t>
  </si>
  <si>
    <t>بانک پاسارگاد 2093071522726818</t>
  </si>
  <si>
    <t>0479601842568</t>
  </si>
  <si>
    <t>7001003572607</t>
  </si>
  <si>
    <t>7001003527830</t>
  </si>
  <si>
    <t>7001003556987</t>
  </si>
  <si>
    <t>7001003572558</t>
  </si>
  <si>
    <t>7001003527918</t>
  </si>
  <si>
    <t>2093071522726818</t>
  </si>
  <si>
    <t>اسنادخزانه-م7بودجه00-030912</t>
  </si>
  <si>
    <t>اسنادخزانه-م4بودجه01-040917</t>
  </si>
  <si>
    <t>اقتصاد نوین 124283686748043</t>
  </si>
  <si>
    <t>بانک اقتصاد نوین 44-6867480-283-124</t>
  </si>
  <si>
    <t>بانک سامان 830.111.3998429.1</t>
  </si>
  <si>
    <t>بانک شهر 7001003631847</t>
  </si>
  <si>
    <t>بانک شهر ۷۰۰۱۰۰۳۶۳۱۸۷۲</t>
  </si>
  <si>
    <t>124283686748043</t>
  </si>
  <si>
    <t>124-283-6867480-44</t>
  </si>
  <si>
    <t>830.111.3998429.1</t>
  </si>
  <si>
    <t>7001003631847</t>
  </si>
  <si>
    <t>7001003631872</t>
  </si>
  <si>
    <t>اسناد خزانه-م1بودجه01-040326 (اخزا101)</t>
  </si>
  <si>
    <t>مرابحه عالیس-کیان070224 (عالیس072)</t>
  </si>
  <si>
    <t>1401/02/26</t>
  </si>
  <si>
    <t>1403/02/24</t>
  </si>
  <si>
    <t>1404/03/26</t>
  </si>
  <si>
    <t>1407/02/24</t>
  </si>
  <si>
    <t>بانک مسکن 5600887334805</t>
  </si>
  <si>
    <t>بانک مسکن 5600887334755</t>
  </si>
  <si>
    <t>بانک شهر 7001003694404</t>
  </si>
  <si>
    <t>بانک شهر 7001003694393</t>
  </si>
  <si>
    <t>بانک شهر 7001003694376</t>
  </si>
  <si>
    <t>بانک شهر 7001003694372</t>
  </si>
  <si>
    <t>بانک شهر 7001003694364</t>
  </si>
  <si>
    <t>بانک شهر 7001003694358</t>
  </si>
  <si>
    <t>بانک شهر 7001003694342</t>
  </si>
  <si>
    <t>بانک شهر 7001003694335</t>
  </si>
  <si>
    <t>بانک شهر 7001003677276</t>
  </si>
  <si>
    <t>بانک شهر 7001003667789</t>
  </si>
  <si>
    <t>بانک شهر 7001003667501</t>
  </si>
  <si>
    <t>بانک شهر 7001003667498</t>
  </si>
  <si>
    <t>بانک سامان کوتاه مدت 1-3998429-810-830</t>
  </si>
  <si>
    <t>5600887334805</t>
  </si>
  <si>
    <t>5600887334755</t>
  </si>
  <si>
    <t>7001003694404</t>
  </si>
  <si>
    <t>7001003694393</t>
  </si>
  <si>
    <t>7001003694376</t>
  </si>
  <si>
    <t>7001003694372</t>
  </si>
  <si>
    <t>7001003694364</t>
  </si>
  <si>
    <t>7001003694358</t>
  </si>
  <si>
    <t>7001003694342</t>
  </si>
  <si>
    <t>7001003694335</t>
  </si>
  <si>
    <t>7001003677276</t>
  </si>
  <si>
    <t>7001003667789</t>
  </si>
  <si>
    <t>7001003667501</t>
  </si>
  <si>
    <t>7001003667498</t>
  </si>
  <si>
    <t xml:space="preserve"> مطابق بند 3-2 دستورالعمل نحوه تعیین قیمت خرید و فروش اوراق بهادار </t>
  </si>
  <si>
    <t>صندوق سرمایه گذاری ...................</t>
  </si>
  <si>
    <t>برای ماه منتهی به ............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</si>
  <si>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</si>
  <si>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</si>
  <si>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</si>
  <si>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</si>
  <si>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</si>
  <si>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</si>
  <si>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</si>
  <si>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</si>
  <si>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</si>
  <si>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</si>
  <si>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</si>
  <si>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</si>
  <si>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</si>
  <si>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</si>
  <si>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</si>
  <si>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</si>
  <si>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</si>
  <si>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</si>
  <si>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</si>
  <si>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</si>
  <si>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</si>
  <si>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</si>
  <si>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</si>
  <si>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</si>
  <si>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 xml:space="preserve">   </t>
  </si>
  <si>
    <t xml:space="preserve">                 </t>
  </si>
  <si>
    <t>د- سود اوراق بهادار با درآمد ثابت</t>
  </si>
  <si>
    <t>د- سود سپرده بانکی</t>
  </si>
  <si>
    <t>بانک پاسارگاد 2093071522726819</t>
  </si>
  <si>
    <t>24845478</t>
  </si>
  <si>
    <t>2093071522726819</t>
  </si>
  <si>
    <t>صندوق سرمایه گذاری اختصاصی بازارگردانی کیان</t>
  </si>
  <si>
    <t>شرکت بهار رز عالیس چناران</t>
  </si>
  <si>
    <t>میانگین نرخ بازده تا سررسید قراردادهای منعقده 
(مؤثر سالانه)</t>
  </si>
  <si>
    <t>1403/04/31</t>
  </si>
  <si>
    <t>از ابتدای سال مالی تا پایان تیر ماه</t>
  </si>
  <si>
    <t>طی تیر ماه</t>
  </si>
  <si>
    <t>از ابتدای سال مالی تا پایان تیرماه</t>
  </si>
  <si>
    <t>اسناد خزانه-م1بودجه01-040326</t>
  </si>
  <si>
    <t>20.50</t>
  </si>
  <si>
    <t>‫قیمت پایانی</t>
  </si>
  <si>
    <t>منتهی به 1403/05/31</t>
  </si>
  <si>
    <t>1403/05/31</t>
  </si>
  <si>
    <t>برای ماه منتهی به 1403/05/31</t>
  </si>
  <si>
    <t>اقتصاد نوین34-6867480-283-124</t>
  </si>
  <si>
    <t>اقتصاد نوین33-6867480-283-124</t>
  </si>
  <si>
    <t>اقتصاد نوین 124.283.6867480.30</t>
  </si>
  <si>
    <t>اقتصاد نوین 124.283.6867480.29</t>
  </si>
  <si>
    <t>اقتصاد نوین 124.283.6867480.28</t>
  </si>
  <si>
    <t>اقتصاد نوین 124.283.6867480.27</t>
  </si>
  <si>
    <t>اقتصاد نوین 124.283.6867480.26</t>
  </si>
  <si>
    <t>اقتصاد نوین 124.283.6867480.25</t>
  </si>
  <si>
    <t>اقتصاد نوین 124.283.6867480.24</t>
  </si>
  <si>
    <t>اقتصاد نوین 124.283.6867480.23</t>
  </si>
  <si>
    <t>اقتصاد نوین 124.283.6867480.22</t>
  </si>
  <si>
    <t>اقتصاد نوین 124.283.6867480.20</t>
  </si>
  <si>
    <t>اقتصاد نوین - 124283686748037</t>
  </si>
  <si>
    <t>اقتصاد نوین- 31-6867480-283-124</t>
  </si>
  <si>
    <t>اقتصاد نوین- 124.283.6867480.35</t>
  </si>
  <si>
    <t>1403/04/07</t>
  </si>
  <si>
    <t>1403/08/24</t>
  </si>
  <si>
    <t>1403/08/09</t>
  </si>
  <si>
    <t>1402/12/26</t>
  </si>
  <si>
    <t>طی مردادماه</t>
  </si>
  <si>
    <t>از ابتدای سال مالی تا پایان مردادماه</t>
  </si>
  <si>
    <t>از ابتدای سال مالی تا مردادماه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</si>
</sst>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  <numFmt numFmtId="171" formatCode="_(* #,##0.0000000_);_(* \(#,##0.0000000\);_(* &quot;-&quot;??_);_(@_)"/>
  </numFmts>
  <fonts count="7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11"/>
      <color theme="1"/>
      <name val="B Mitra"/>
      <charset val="178"/>
    </font>
    <font>
      <b/>
      <sz val="18"/>
      <color rgb="FF0062AC"/>
      <name val="B Mitra"/>
      <charset val="178"/>
    </font>
    <font>
      <b/>
      <sz val="9"/>
      <color rgb="FF00A651"/>
      <name val="IranSansFaNum"/>
    </font>
    <font>
      <b/>
      <sz val="9"/>
      <color rgb="FF2E2E2E"/>
      <name val="IranSansFaNum"/>
    </font>
    <font>
      <b/>
      <sz val="12"/>
      <color rgb="FF0062AC"/>
      <name val="B Titr"/>
      <charset val="178"/>
    </font>
    <font>
      <sz val="8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b/>
      <sz val="14"/>
      <name val="B Mitra"/>
      <charset val="178"/>
    </font>
    <font>
      <b/>
      <sz val="9"/>
      <color rgb="FF0062AC"/>
      <name val="B Mitra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41" fillId="0" borderId="0" applyNumberFormat="0" applyFill="0" applyBorder="0" applyAlignment="0" applyProtection="0"/>
  </cellStyleXfs>
  <cellXfs count="417">
    <xf numFmtId="0" fontId="0" fillId="0" borderId="0" xfId="0"/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164" fontId="6" fillId="0" borderId="0" xfId="1" applyNumberFormat="1" applyFont="1" applyBorder="1" applyAlignment="1">
      <alignment vertical="center" wrapText="1" readingOrder="2"/>
    </xf>
    <xf numFmtId="0" fontId="7" fillId="0" borderId="0" xfId="0" applyFont="1" applyAlignment="1">
      <alignment vertical="center" wrapText="1" readingOrder="2"/>
    </xf>
    <xf numFmtId="0" fontId="7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center" vertical="center"/>
    </xf>
    <xf numFmtId="0" fontId="15" fillId="0" borderId="0" xfId="0" applyFont="1"/>
    <xf numFmtId="37" fontId="14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 readingOrder="2"/>
    </xf>
    <xf numFmtId="165" fontId="25" fillId="0" borderId="4" xfId="0" applyNumberFormat="1" applyFont="1" applyBorder="1" applyAlignment="1">
      <alignment horizontal="center" vertical="center" wrapText="1" readingOrder="2"/>
    </xf>
    <xf numFmtId="165" fontId="25" fillId="0" borderId="4" xfId="1" applyNumberFormat="1" applyFont="1" applyBorder="1" applyAlignment="1">
      <alignment horizontal="center" vertical="center" wrapText="1" readingOrder="2"/>
    </xf>
    <xf numFmtId="165" fontId="11" fillId="0" borderId="0" xfId="1" applyNumberFormat="1" applyFont="1" applyFill="1"/>
    <xf numFmtId="0" fontId="28" fillId="0" borderId="0" xfId="0" applyFont="1" applyAlignment="1">
      <alignment horizontal="center" vertical="center"/>
    </xf>
    <xf numFmtId="37" fontId="29" fillId="0" borderId="11" xfId="0" applyNumberFormat="1" applyFont="1" applyBorder="1" applyAlignment="1">
      <alignment horizontal="center" vertical="center" wrapText="1"/>
    </xf>
    <xf numFmtId="37" fontId="14" fillId="0" borderId="9" xfId="0" applyNumberFormat="1" applyFont="1" applyBorder="1" applyAlignment="1">
      <alignment horizontal="center" vertical="center"/>
    </xf>
    <xf numFmtId="37" fontId="14" fillId="0" borderId="13" xfId="0" applyNumberFormat="1" applyFont="1" applyBorder="1" applyAlignment="1">
      <alignment horizontal="center" vertical="center"/>
    </xf>
    <xf numFmtId="37" fontId="29" fillId="0" borderId="11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right" vertical="center" readingOrder="2"/>
    </xf>
    <xf numFmtId="164" fontId="7" fillId="0" borderId="2" xfId="1" applyNumberFormat="1" applyFont="1" applyFill="1" applyBorder="1" applyAlignment="1">
      <alignment horizontal="right" vertical="center" readingOrder="2"/>
    </xf>
    <xf numFmtId="10" fontId="7" fillId="0" borderId="2" xfId="2" applyNumberFormat="1" applyFont="1" applyBorder="1" applyAlignment="1">
      <alignment horizontal="center" vertical="center" readingOrder="2"/>
    </xf>
    <xf numFmtId="164" fontId="7" fillId="0" borderId="0" xfId="1" applyNumberFormat="1" applyFont="1" applyFill="1" applyAlignment="1">
      <alignment vertical="center"/>
    </xf>
    <xf numFmtId="10" fontId="7" fillId="0" borderId="0" xfId="2" applyNumberFormat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164" fontId="21" fillId="0" borderId="8" xfId="1" applyNumberFormat="1" applyFont="1" applyBorder="1" applyAlignment="1">
      <alignment vertical="center"/>
    </xf>
    <xf numFmtId="164" fontId="21" fillId="0" borderId="0" xfId="1" applyNumberFormat="1" applyFont="1" applyAlignment="1">
      <alignment horizontal="center" vertical="center" wrapText="1" shrinkToFit="1"/>
    </xf>
    <xf numFmtId="164" fontId="16" fillId="0" borderId="0" xfId="1" applyNumberFormat="1" applyFont="1" applyAlignment="1">
      <alignment vertical="center"/>
    </xf>
    <xf numFmtId="164" fontId="10" fillId="0" borderId="8" xfId="1" applyNumberFormat="1" applyFont="1" applyBorder="1" applyAlignment="1">
      <alignment vertical="center"/>
    </xf>
    <xf numFmtId="37" fontId="3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25" fillId="0" borderId="4" xfId="0" applyFont="1" applyBorder="1" applyAlignment="1">
      <alignment horizontal="center" vertical="center" wrapText="1" readingOrder="2"/>
    </xf>
    <xf numFmtId="164" fontId="26" fillId="0" borderId="1" xfId="1" applyNumberFormat="1" applyFont="1" applyBorder="1" applyAlignment="1">
      <alignment horizontal="center" vertical="center" wrapText="1" readingOrder="2"/>
    </xf>
    <xf numFmtId="165" fontId="26" fillId="0" borderId="1" xfId="1" applyNumberFormat="1" applyFont="1" applyBorder="1" applyAlignment="1">
      <alignment horizontal="center" vertical="center" wrapText="1" readingOrder="2"/>
    </xf>
    <xf numFmtId="10" fontId="9" fillId="0" borderId="0" xfId="2" applyNumberFormat="1" applyFont="1" applyAlignment="1">
      <alignment horizontal="center" vertical="center"/>
    </xf>
    <xf numFmtId="164" fontId="42" fillId="0" borderId="0" xfId="1" applyNumberFormat="1" applyFont="1" applyAlignment="1">
      <alignment vertical="center"/>
    </xf>
    <xf numFmtId="0" fontId="42" fillId="0" borderId="0" xfId="0" applyFont="1" applyAlignment="1">
      <alignment vertical="center"/>
    </xf>
    <xf numFmtId="165" fontId="42" fillId="0" borderId="0" xfId="1" applyNumberFormat="1" applyFont="1" applyAlignment="1">
      <alignment vertical="center"/>
    </xf>
    <xf numFmtId="165" fontId="42" fillId="0" borderId="0" xfId="0" applyNumberFormat="1" applyFont="1" applyAlignment="1">
      <alignment vertical="center"/>
    </xf>
    <xf numFmtId="10" fontId="25" fillId="0" borderId="8" xfId="2" applyNumberFormat="1" applyFont="1" applyBorder="1" applyAlignment="1">
      <alignment horizontal="center" vertical="center" wrapText="1" readingOrder="2"/>
    </xf>
    <xf numFmtId="10" fontId="9" fillId="0" borderId="0" xfId="0" applyNumberFormat="1" applyFont="1" applyAlignment="1">
      <alignment horizontal="center" vertical="center"/>
    </xf>
    <xf numFmtId="164" fontId="10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 wrapText="1"/>
    </xf>
    <xf numFmtId="37" fontId="9" fillId="0" borderId="0" xfId="0" quotePrefix="1" applyNumberFormat="1" applyFont="1" applyAlignment="1">
      <alignment horizontal="center" vertical="center" wrapText="1"/>
    </xf>
    <xf numFmtId="37" fontId="14" fillId="0" borderId="0" xfId="0" quotePrefix="1" applyNumberFormat="1" applyFont="1" applyAlignment="1">
      <alignment horizontal="right" vertical="center" wrapText="1"/>
    </xf>
    <xf numFmtId="37" fontId="9" fillId="0" borderId="0" xfId="0" quotePrefix="1" applyNumberFormat="1" applyFont="1" applyAlignment="1">
      <alignment horizontal="right" vertical="center" wrapText="1"/>
    </xf>
    <xf numFmtId="164" fontId="7" fillId="0" borderId="0" xfId="1" applyNumberFormat="1" applyFont="1" applyFill="1" applyAlignment="1">
      <alignment horizontal="center" vertical="center"/>
    </xf>
    <xf numFmtId="164" fontId="21" fillId="0" borderId="1" xfId="1" applyNumberFormat="1" applyFont="1" applyFill="1" applyBorder="1"/>
    <xf numFmtId="164" fontId="19" fillId="0" borderId="1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vertical="center"/>
    </xf>
    <xf numFmtId="10" fontId="14" fillId="0" borderId="0" xfId="2" applyNumberFormat="1" applyFont="1" applyFill="1" applyAlignment="1">
      <alignment horizontal="center" vertical="center"/>
    </xf>
    <xf numFmtId="164" fontId="17" fillId="0" borderId="0" xfId="1" applyNumberFormat="1" applyFont="1" applyFill="1"/>
    <xf numFmtId="164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/>
    <xf numFmtId="164" fontId="16" fillId="0" borderId="0" xfId="1" applyNumberFormat="1" applyFont="1" applyFill="1" applyAlignment="1">
      <alignment horizontal="center"/>
    </xf>
    <xf numFmtId="164" fontId="16" fillId="0" borderId="0" xfId="1" applyNumberFormat="1" applyFont="1" applyFill="1"/>
    <xf numFmtId="164" fontId="16" fillId="0" borderId="4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Alignment="1">
      <alignment horizontal="center" vertical="center" wrapText="1"/>
    </xf>
    <xf numFmtId="164" fontId="21" fillId="0" borderId="0" xfId="1" applyNumberFormat="1" applyFont="1" applyFill="1"/>
    <xf numFmtId="164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/>
    <xf numFmtId="165" fontId="15" fillId="0" borderId="0" xfId="1" applyNumberFormat="1" applyFont="1" applyFill="1"/>
    <xf numFmtId="164" fontId="30" fillId="0" borderId="14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vertical="center" wrapText="1"/>
    </xf>
    <xf numFmtId="164" fontId="21" fillId="0" borderId="3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9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/>
    </xf>
    <xf numFmtId="164" fontId="21" fillId="0" borderId="0" xfId="1" applyNumberFormat="1" applyFont="1" applyFill="1" applyBorder="1" applyAlignment="1">
      <alignment vertical="center" wrapText="1"/>
    </xf>
    <xf numFmtId="169" fontId="11" fillId="0" borderId="0" xfId="2" applyNumberFormat="1" applyFont="1" applyFill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/>
    <xf numFmtId="166" fontId="48" fillId="0" borderId="0" xfId="1" applyNumberFormat="1" applyFont="1" applyFill="1" applyAlignment="1">
      <alignment horizontal="left" vertical="center" wrapText="1" shrinkToFit="1"/>
    </xf>
    <xf numFmtId="164" fontId="48" fillId="0" borderId="0" xfId="1" applyNumberFormat="1" applyFont="1" applyFill="1" applyAlignment="1">
      <alignment horizontal="left" vertical="center" wrapText="1" shrinkToFit="1"/>
    </xf>
    <xf numFmtId="167" fontId="48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1" fillId="0" borderId="8" xfId="1" applyNumberFormat="1" applyFont="1" applyFill="1" applyBorder="1" applyAlignment="1">
      <alignment vertical="center"/>
    </xf>
    <xf numFmtId="9" fontId="40" fillId="0" borderId="2" xfId="2" applyFont="1" applyFill="1" applyBorder="1" applyAlignment="1">
      <alignment horizontal="center" vertical="center" wrapText="1" readingOrder="2"/>
    </xf>
    <xf numFmtId="164" fontId="10" fillId="0" borderId="0" xfId="1" applyNumberFormat="1" applyFont="1" applyFill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170" fontId="58" fillId="0" borderId="0" xfId="1" applyNumberFormat="1" applyFont="1" applyFill="1" applyAlignment="1">
      <alignment vertical="center"/>
    </xf>
    <xf numFmtId="165" fontId="23" fillId="0" borderId="0" xfId="1" applyNumberFormat="1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5" fillId="0" borderId="0" xfId="0" applyFont="1"/>
    <xf numFmtId="37" fontId="44" fillId="0" borderId="0" xfId="0" applyNumberFormat="1" applyFont="1" applyAlignment="1">
      <alignment horizontal="right" vertical="center"/>
    </xf>
    <xf numFmtId="37" fontId="44" fillId="0" borderId="15" xfId="0" applyNumberFormat="1" applyFont="1" applyBorder="1" applyAlignment="1">
      <alignment horizontal="center" vertical="center"/>
    </xf>
    <xf numFmtId="0" fontId="45" fillId="0" borderId="3" xfId="0" applyFont="1" applyBorder="1"/>
    <xf numFmtId="37" fontId="44" fillId="0" borderId="3" xfId="0" applyNumberFormat="1" applyFont="1" applyBorder="1" applyAlignment="1">
      <alignment horizontal="center" vertical="center" wrapText="1"/>
    </xf>
    <xf numFmtId="37" fontId="46" fillId="0" borderId="1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/>
    </xf>
    <xf numFmtId="168" fontId="46" fillId="0" borderId="0" xfId="0" applyNumberFormat="1" applyFont="1" applyAlignment="1">
      <alignment horizontal="center" vertical="center" wrapText="1" shrinkToFit="1"/>
    </xf>
    <xf numFmtId="0" fontId="48" fillId="0" borderId="0" xfId="0" applyFont="1"/>
    <xf numFmtId="164" fontId="45" fillId="0" borderId="0" xfId="0" applyNumberFormat="1" applyFont="1" applyAlignment="1">
      <alignment vertical="center"/>
    </xf>
    <xf numFmtId="37" fontId="46" fillId="0" borderId="17" xfId="0" applyNumberFormat="1" applyFont="1" applyBorder="1" applyAlignment="1">
      <alignment horizontal="right" vertical="center" wrapText="1"/>
    </xf>
    <xf numFmtId="164" fontId="46" fillId="0" borderId="0" xfId="0" applyNumberFormat="1" applyFont="1" applyAlignment="1">
      <alignment horizontal="left" vertical="center" wrapText="1" shrinkToFit="1"/>
    </xf>
    <xf numFmtId="164" fontId="46" fillId="0" borderId="0" xfId="0" applyNumberFormat="1" applyFont="1" applyAlignment="1">
      <alignment horizontal="righ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3" fillId="0" borderId="0" xfId="0" applyNumberFormat="1" applyFont="1"/>
    <xf numFmtId="0" fontId="17" fillId="0" borderId="0" xfId="0" applyFont="1"/>
    <xf numFmtId="0" fontId="21" fillId="0" borderId="0" xfId="0" applyFont="1"/>
    <xf numFmtId="0" fontId="21" fillId="0" borderId="1" xfId="0" applyFont="1" applyBorder="1"/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vertical="center" wrapText="1" readingOrder="2"/>
    </xf>
    <xf numFmtId="0" fontId="21" fillId="0" borderId="0" xfId="0" applyFont="1" applyAlignment="1">
      <alignment vertical="center" wrapText="1"/>
    </xf>
    <xf numFmtId="0" fontId="57" fillId="0" borderId="0" xfId="0" applyFont="1"/>
    <xf numFmtId="0" fontId="21" fillId="0" borderId="0" xfId="0" applyFont="1" applyAlignment="1">
      <alignment vertical="center" wrapText="1" readingOrder="2"/>
    </xf>
    <xf numFmtId="0" fontId="21" fillId="0" borderId="0" xfId="0" applyFont="1" applyAlignment="1">
      <alignment horizontal="center"/>
    </xf>
    <xf numFmtId="37" fontId="14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vertical="center" readingOrder="2"/>
    </xf>
    <xf numFmtId="38" fontId="15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49" fontId="21" fillId="0" borderId="0" xfId="0" applyNumberFormat="1" applyFont="1" applyAlignment="1">
      <alignment horizontal="center" vertical="center" readingOrder="2"/>
    </xf>
    <xf numFmtId="164" fontId="19" fillId="0" borderId="0" xfId="1" applyNumberFormat="1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 readingOrder="2"/>
    </xf>
    <xf numFmtId="164" fontId="51" fillId="0" borderId="0" xfId="0" applyNumberFormat="1" applyFont="1" applyAlignment="1">
      <alignment vertical="center" wrapText="1" shrinkToFit="1"/>
    </xf>
    <xf numFmtId="0" fontId="21" fillId="0" borderId="0" xfId="0" applyFont="1" applyAlignment="1">
      <alignment horizontal="right" vertical="center"/>
    </xf>
    <xf numFmtId="38" fontId="19" fillId="0" borderId="10" xfId="0" applyNumberFormat="1" applyFont="1" applyBorder="1" applyAlignment="1">
      <alignment horizontal="right" vertical="center" readingOrder="2"/>
    </xf>
    <xf numFmtId="0" fontId="15" fillId="0" borderId="0" xfId="0" applyFont="1" applyAlignment="1">
      <alignment horizontal="right" vertical="center"/>
    </xf>
    <xf numFmtId="3" fontId="53" fillId="0" borderId="0" xfId="0" applyNumberFormat="1" applyFont="1"/>
    <xf numFmtId="164" fontId="15" fillId="0" borderId="0" xfId="1" applyNumberFormat="1" applyFont="1" applyFill="1" applyAlignment="1"/>
    <xf numFmtId="164" fontId="15" fillId="0" borderId="0" xfId="0" applyNumberFormat="1" applyFont="1"/>
    <xf numFmtId="3" fontId="15" fillId="0" borderId="0" xfId="0" applyNumberFormat="1" applyFont="1"/>
    <xf numFmtId="164" fontId="52" fillId="0" borderId="0" xfId="1" applyNumberFormat="1" applyFont="1" applyFill="1" applyAlignment="1"/>
    <xf numFmtId="164" fontId="36" fillId="0" borderId="0" xfId="0" applyNumberFormat="1" applyFont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1" fillId="0" borderId="0" xfId="0" applyNumberFormat="1" applyFont="1"/>
    <xf numFmtId="37" fontId="2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right" vertical="center" wrapText="1" readingOrder="2"/>
    </xf>
    <xf numFmtId="0" fontId="30" fillId="0" borderId="0" xfId="0" applyFont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1" xfId="0" applyFont="1" applyBorder="1" applyAlignment="1">
      <alignment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vertical="center" wrapText="1"/>
    </xf>
    <xf numFmtId="3" fontId="11" fillId="0" borderId="0" xfId="0" applyNumberFormat="1" applyFont="1"/>
    <xf numFmtId="0" fontId="30" fillId="0" borderId="14" xfId="0" applyFont="1" applyBorder="1" applyAlignment="1">
      <alignment horizontal="center" vertical="center" wrapText="1" readingOrder="2"/>
    </xf>
    <xf numFmtId="37" fontId="33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 readingOrder="2"/>
    </xf>
    <xf numFmtId="0" fontId="19" fillId="0" borderId="0" xfId="0" applyFont="1"/>
    <xf numFmtId="0" fontId="30" fillId="0" borderId="1" xfId="0" applyFont="1" applyBorder="1" applyAlignment="1">
      <alignment horizontal="center" vertical="center" wrapText="1" readingOrder="2"/>
    </xf>
    <xf numFmtId="37" fontId="14" fillId="0" borderId="0" xfId="0" quotePrefix="1" applyNumberFormat="1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1" fontId="14" fillId="0" borderId="0" xfId="0" applyNumberFormat="1" applyFont="1" applyAlignment="1">
      <alignment horizontal="right" vertical="center"/>
    </xf>
    <xf numFmtId="164" fontId="49" fillId="2" borderId="0" xfId="0" applyNumberFormat="1" applyFont="1" applyFill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164" fontId="51" fillId="2" borderId="0" xfId="0" applyNumberFormat="1" applyFont="1" applyFill="1" applyAlignment="1">
      <alignment vertical="center" wrapText="1" shrinkToFit="1"/>
    </xf>
    <xf numFmtId="164" fontId="11" fillId="0" borderId="0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 wrapText="1"/>
    </xf>
    <xf numFmtId="164" fontId="11" fillId="0" borderId="18" xfId="1" applyNumberFormat="1" applyFont="1" applyFill="1" applyBorder="1" applyAlignment="1">
      <alignment vertical="center"/>
    </xf>
    <xf numFmtId="3" fontId="11" fillId="0" borderId="0" xfId="0" applyNumberFormat="1" applyFont="1" applyAlignment="1">
      <alignment horizontal="right" vertical="center" indent="1"/>
    </xf>
    <xf numFmtId="0" fontId="56" fillId="0" borderId="1" xfId="0" applyFont="1" applyBorder="1" applyAlignment="1">
      <alignment horizontal="center" vertical="center" wrapText="1" readingOrder="2"/>
    </xf>
    <xf numFmtId="0" fontId="56" fillId="0" borderId="1" xfId="0" applyFont="1" applyBorder="1" applyAlignment="1">
      <alignment vertical="center" wrapText="1" readingOrder="2"/>
    </xf>
    <xf numFmtId="0" fontId="16" fillId="0" borderId="0" xfId="0" applyFont="1" applyAlignment="1">
      <alignment horizontal="center"/>
    </xf>
    <xf numFmtId="164" fontId="15" fillId="2" borderId="0" xfId="1" applyNumberFormat="1" applyFont="1" applyFill="1" applyAlignment="1"/>
    <xf numFmtId="164" fontId="21" fillId="0" borderId="0" xfId="1" applyNumberFormat="1" applyFont="1"/>
    <xf numFmtId="164" fontId="11" fillId="0" borderId="0" xfId="1" applyNumberFormat="1" applyFont="1"/>
    <xf numFmtId="169" fontId="21" fillId="0" borderId="0" xfId="2" applyNumberFormat="1" applyFont="1"/>
    <xf numFmtId="169" fontId="11" fillId="0" borderId="0" xfId="2" applyNumberFormat="1" applyFont="1"/>
    <xf numFmtId="9" fontId="11" fillId="0" borderId="0" xfId="2" applyFont="1"/>
    <xf numFmtId="37" fontId="14" fillId="0" borderId="0" xfId="0" applyNumberFormat="1" applyFont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Alignment="1">
      <alignment vertical="center"/>
    </xf>
    <xf numFmtId="164" fontId="19" fillId="0" borderId="1" xfId="1" applyNumberFormat="1" applyFont="1" applyFill="1" applyBorder="1" applyAlignment="1">
      <alignment horizontal="right" vertical="center" readingOrder="2"/>
    </xf>
    <xf numFmtId="169" fontId="21" fillId="0" borderId="0" xfId="0" applyNumberFormat="1" applyFont="1"/>
    <xf numFmtId="165" fontId="21" fillId="0" borderId="1" xfId="1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3" fontId="17" fillId="0" borderId="0" xfId="0" applyNumberFormat="1" applyFont="1"/>
    <xf numFmtId="164" fontId="13" fillId="0" borderId="0" xfId="0" applyNumberFormat="1" applyFont="1" applyAlignment="1">
      <alignment horizontal="center"/>
    </xf>
    <xf numFmtId="3" fontId="21" fillId="0" borderId="0" xfId="0" applyNumberFormat="1" applyFont="1"/>
    <xf numFmtId="37" fontId="35" fillId="0" borderId="0" xfId="0" quotePrefix="1" applyNumberFormat="1" applyFont="1" applyAlignment="1">
      <alignment horizontal="right" vertical="center" wrapText="1"/>
    </xf>
    <xf numFmtId="9" fontId="21" fillId="0" borderId="0" xfId="0" applyNumberFormat="1" applyFont="1"/>
    <xf numFmtId="164" fontId="21" fillId="0" borderId="0" xfId="1" applyNumberFormat="1" applyFont="1" applyFill="1" applyAlignment="1">
      <alignment horizontal="right" vertical="center"/>
    </xf>
    <xf numFmtId="10" fontId="21" fillId="0" borderId="0" xfId="0" applyNumberFormat="1" applyFont="1"/>
    <xf numFmtId="169" fontId="19" fillId="0" borderId="0" xfId="2" applyNumberFormat="1" applyFont="1" applyFill="1" applyAlignment="1">
      <alignment horizontal="center" vertical="center" wrapText="1" shrinkToFit="1" readingOrder="2"/>
    </xf>
    <xf numFmtId="169" fontId="19" fillId="0" borderId="0" xfId="2" applyNumberFormat="1" applyFont="1" applyAlignment="1">
      <alignment horizontal="center" vertical="center" wrapText="1" readingOrder="2"/>
    </xf>
    <xf numFmtId="169" fontId="19" fillId="0" borderId="2" xfId="2" applyNumberFormat="1" applyFont="1" applyBorder="1" applyAlignment="1">
      <alignment horizontal="center" vertical="center" readingOrder="2"/>
    </xf>
    <xf numFmtId="169" fontId="19" fillId="0" borderId="0" xfId="2" applyNumberFormat="1" applyFont="1" applyAlignment="1">
      <alignment horizontal="center" vertical="center" readingOrder="2"/>
    </xf>
    <xf numFmtId="169" fontId="19" fillId="0" borderId="3" xfId="2" applyNumberFormat="1" applyFont="1" applyBorder="1" applyAlignment="1">
      <alignment horizontal="center" vertical="center" readingOrder="2"/>
    </xf>
    <xf numFmtId="3" fontId="62" fillId="0" borderId="0" xfId="0" applyNumberFormat="1" applyFont="1"/>
    <xf numFmtId="9" fontId="7" fillId="0" borderId="0" xfId="2" applyFont="1" applyFill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/>
    </xf>
    <xf numFmtId="37" fontId="44" fillId="0" borderId="14" xfId="0" applyNumberFormat="1" applyFont="1" applyBorder="1" applyAlignment="1">
      <alignment horizontal="center" vertical="center" wrapText="1"/>
    </xf>
    <xf numFmtId="164" fontId="46" fillId="0" borderId="0" xfId="0" applyNumberFormat="1" applyFont="1" applyAlignment="1">
      <alignment horizontal="center" vertical="center" wrapText="1" shrinkToFit="1"/>
    </xf>
    <xf numFmtId="10" fontId="58" fillId="0" borderId="0" xfId="2" applyNumberFormat="1" applyFont="1" applyFill="1" applyAlignment="1">
      <alignment vertical="center"/>
    </xf>
    <xf numFmtId="10" fontId="46" fillId="0" borderId="0" xfId="2" applyNumberFormat="1" applyFont="1" applyAlignment="1">
      <alignment horizontal="center" vertical="center" wrapText="1" shrinkToFit="1"/>
    </xf>
    <xf numFmtId="171" fontId="0" fillId="0" borderId="0" xfId="1" applyNumberFormat="1" applyFont="1" applyFill="1"/>
    <xf numFmtId="170" fontId="0" fillId="0" borderId="0" xfId="1" applyNumberFormat="1" applyFont="1" applyFill="1"/>
    <xf numFmtId="9" fontId="7" fillId="0" borderId="2" xfId="2" applyFont="1" applyFill="1" applyBorder="1" applyAlignment="1">
      <alignment horizontal="center" vertical="center" readingOrder="2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17" fillId="0" borderId="19" xfId="0" applyFont="1" applyBorder="1" applyAlignment="1">
      <alignment horizontal="center" vertical="center" wrapText="1" readingOrder="2"/>
    </xf>
    <xf numFmtId="0" fontId="64" fillId="0" borderId="19" xfId="0" applyFont="1" applyBorder="1" applyAlignment="1">
      <alignment horizontal="center" vertical="center" wrapText="1" readingOrder="2"/>
    </xf>
    <xf numFmtId="0" fontId="15" fillId="0" borderId="19" xfId="0" applyFont="1" applyBorder="1" applyAlignment="1">
      <alignment horizontal="center" vertical="center" wrapText="1" readingOrder="2"/>
    </xf>
    <xf numFmtId="0" fontId="65" fillId="0" borderId="19" xfId="0" applyFont="1" applyBorder="1" applyAlignment="1">
      <alignment horizontal="center" vertical="center" wrapText="1" readingOrder="2"/>
    </xf>
    <xf numFmtId="0" fontId="66" fillId="0" borderId="19" xfId="0" applyFont="1" applyBorder="1" applyAlignment="1">
      <alignment horizontal="center" vertical="center" wrapText="1" readingOrder="2"/>
    </xf>
    <xf numFmtId="0" fontId="21" fillId="4" borderId="0" xfId="0" applyFont="1" applyFill="1"/>
    <xf numFmtId="0" fontId="38" fillId="2" borderId="20" xfId="0" applyFont="1" applyFill="1" applyBorder="1" applyAlignment="1">
      <alignment horizontal="right" vertical="center" readingOrder="2"/>
    </xf>
    <xf numFmtId="38" fontId="22" fillId="3" borderId="21" xfId="1" applyNumberFormat="1" applyFont="1" applyFill="1" applyBorder="1" applyAlignment="1">
      <alignment horizontal="right" vertical="center" readingOrder="2"/>
    </xf>
    <xf numFmtId="0" fontId="38" fillId="2" borderId="22" xfId="0" applyFont="1" applyFill="1" applyBorder="1" applyAlignment="1">
      <alignment horizontal="right" vertical="center" readingOrder="2"/>
    </xf>
    <xf numFmtId="3" fontId="36" fillId="0" borderId="0" xfId="0" applyNumberFormat="1" applyFont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3" fontId="61" fillId="0" borderId="0" xfId="0" applyNumberFormat="1" applyFont="1" applyAlignment="1">
      <alignment vertical="center"/>
    </xf>
    <xf numFmtId="3" fontId="5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3" fontId="37" fillId="0" borderId="0" xfId="0" applyNumberFormat="1" applyFont="1" applyAlignment="1">
      <alignment vertical="center"/>
    </xf>
    <xf numFmtId="37" fontId="2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7" fontId="68" fillId="0" borderId="0" xfId="0" applyNumberFormat="1" applyFont="1" applyAlignment="1">
      <alignment horizontal="center" vertical="center"/>
    </xf>
    <xf numFmtId="0" fontId="23" fillId="0" borderId="0" xfId="0" applyFont="1"/>
    <xf numFmtId="9" fontId="23" fillId="0" borderId="0" xfId="2" applyFont="1" applyFill="1" applyAlignment="1">
      <alignment horizontal="center" vertical="center"/>
    </xf>
    <xf numFmtId="164" fontId="23" fillId="0" borderId="8" xfId="1" applyNumberFormat="1" applyFont="1" applyFill="1" applyBorder="1" applyAlignment="1">
      <alignment vertical="center"/>
    </xf>
    <xf numFmtId="164" fontId="23" fillId="0" borderId="0" xfId="1" applyNumberFormat="1" applyFont="1" applyFill="1" applyAlignment="1">
      <alignment vertical="center"/>
    </xf>
    <xf numFmtId="37" fontId="21" fillId="0" borderId="0" xfId="0" applyNumberFormat="1" applyFont="1"/>
    <xf numFmtId="0" fontId="1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1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164" fontId="25" fillId="0" borderId="0" xfId="1" applyNumberFormat="1" applyFont="1" applyFill="1" applyBorder="1" applyAlignment="1">
      <alignment horizontal="center" vertical="center" wrapText="1" readingOrder="2"/>
    </xf>
    <xf numFmtId="164" fontId="16" fillId="0" borderId="0" xfId="1" applyNumberFormat="1" applyFont="1" applyFill="1" applyBorder="1" applyAlignment="1">
      <alignment horizontal="center" vertical="center" wrapText="1"/>
    </xf>
    <xf numFmtId="164" fontId="11" fillId="5" borderId="0" xfId="1" applyNumberFormat="1" applyFont="1" applyFill="1" applyAlignment="1">
      <alignment vertical="center"/>
    </xf>
    <xf numFmtId="164" fontId="10" fillId="0" borderId="0" xfId="1" applyNumberFormat="1" applyFont="1" applyAlignment="1">
      <alignment horizontal="center"/>
    </xf>
    <xf numFmtId="164" fontId="46" fillId="0" borderId="9" xfId="0" applyNumberFormat="1" applyFont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center"/>
    </xf>
    <xf numFmtId="3" fontId="61" fillId="0" borderId="0" xfId="0" applyNumberFormat="1" applyFont="1"/>
    <xf numFmtId="164" fontId="66" fillId="0" borderId="19" xfId="1" applyNumberFormat="1" applyFont="1" applyBorder="1" applyAlignment="1">
      <alignment horizontal="center" vertical="center" wrapText="1" readingOrder="2"/>
    </xf>
    <xf numFmtId="9" fontId="66" fillId="0" borderId="19" xfId="0" applyNumberFormat="1" applyFont="1" applyBorder="1" applyAlignment="1">
      <alignment horizontal="center" vertical="center" wrapText="1" readingOrder="2"/>
    </xf>
    <xf numFmtId="164" fontId="11" fillId="2" borderId="0" xfId="1" applyNumberFormat="1" applyFont="1" applyFill="1" applyAlignment="1">
      <alignment vertical="center"/>
    </xf>
    <xf numFmtId="164" fontId="17" fillId="0" borderId="0" xfId="1" applyNumberFormat="1" applyFont="1"/>
    <xf numFmtId="169" fontId="11" fillId="2" borderId="0" xfId="2" applyNumberFormat="1" applyFont="1" applyFill="1" applyAlignment="1">
      <alignment horizontal="center" vertical="center"/>
    </xf>
    <xf numFmtId="169" fontId="21" fillId="2" borderId="0" xfId="0" applyNumberFormat="1" applyFont="1" applyFill="1"/>
    <xf numFmtId="9" fontId="21" fillId="2" borderId="0" xfId="0" applyNumberFormat="1" applyFont="1" applyFill="1"/>
    <xf numFmtId="0" fontId="24" fillId="0" borderId="0" xfId="0" applyFont="1" applyAlignment="1">
      <alignment horizontal="right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44" fontId="13" fillId="0" borderId="0" xfId="0" applyNumberFormat="1" applyFont="1" applyAlignment="1">
      <alignment horizontal="center"/>
    </xf>
    <xf numFmtId="10" fontId="21" fillId="0" borderId="2" xfId="1" applyNumberFormat="1" applyFont="1" applyFill="1" applyBorder="1" applyAlignment="1">
      <alignment horizontal="center" vertical="center" readingOrder="2"/>
    </xf>
    <xf numFmtId="164" fontId="19" fillId="0" borderId="8" xfId="1" applyNumberFormat="1" applyFont="1" applyFill="1" applyBorder="1" applyAlignment="1">
      <alignment vertical="center"/>
    </xf>
    <xf numFmtId="164" fontId="32" fillId="0" borderId="0" xfId="1" applyNumberFormat="1" applyFont="1" applyFill="1" applyBorder="1" applyAlignment="1">
      <alignment vertical="center" wrapText="1" readingOrder="2"/>
    </xf>
    <xf numFmtId="164" fontId="23" fillId="0" borderId="8" xfId="1" applyNumberFormat="1" applyFont="1" applyFill="1" applyBorder="1" applyAlignment="1">
      <alignment horizontal="center" vertical="center"/>
    </xf>
    <xf numFmtId="164" fontId="19" fillId="0" borderId="8" xfId="1" applyNumberFormat="1" applyFont="1" applyFill="1" applyBorder="1" applyAlignment="1">
      <alignment horizontal="left" vertical="center"/>
    </xf>
    <xf numFmtId="164" fontId="23" fillId="0" borderId="8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164" fontId="15" fillId="5" borderId="0" xfId="1" applyNumberFormat="1" applyFont="1" applyFill="1" applyAlignment="1">
      <alignment vertical="center"/>
    </xf>
    <xf numFmtId="3" fontId="11" fillId="0" borderId="18" xfId="0" applyNumberFormat="1" applyFont="1" applyBorder="1" applyAlignment="1">
      <alignment horizontal="right" vertical="center" indent="1"/>
    </xf>
    <xf numFmtId="164" fontId="23" fillId="0" borderId="0" xfId="1" applyNumberFormat="1" applyFont="1" applyFill="1" applyBorder="1" applyAlignment="1">
      <alignment vertical="center"/>
    </xf>
    <xf numFmtId="164" fontId="66" fillId="0" borderId="19" xfId="1" applyNumberFormat="1" applyFont="1" applyFill="1" applyBorder="1" applyAlignment="1">
      <alignment horizontal="center" vertical="center" wrapText="1" readingOrder="2"/>
    </xf>
    <xf numFmtId="0" fontId="3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readingOrder="2"/>
    </xf>
    <xf numFmtId="164" fontId="7" fillId="0" borderId="1" xfId="1" applyNumberFormat="1" applyFont="1" applyBorder="1" applyAlignment="1">
      <alignment horizontal="center" vertical="center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horizontal="center" vertical="center" wrapText="1" readingOrder="2"/>
    </xf>
    <xf numFmtId="0" fontId="8" fillId="0" borderId="0" xfId="0" applyFont="1" applyAlignment="1">
      <alignment horizontal="right" vertical="center" readingOrder="2"/>
    </xf>
    <xf numFmtId="164" fontId="7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0" fontId="7" fillId="0" borderId="3" xfId="2" applyNumberFormat="1" applyFont="1" applyBorder="1" applyAlignment="1">
      <alignment horizontal="center" vertical="center" wrapText="1" readingOrder="2"/>
    </xf>
    <xf numFmtId="10" fontId="7" fillId="0" borderId="1" xfId="2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0" fontId="60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56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21" fillId="0" borderId="1" xfId="1" applyNumberFormat="1" applyFont="1" applyFill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/>
    </xf>
    <xf numFmtId="164" fontId="25" fillId="0" borderId="3" xfId="1" applyNumberFormat="1" applyFont="1" applyBorder="1" applyAlignment="1">
      <alignment horizontal="center" vertical="center" wrapText="1" readingOrder="2"/>
    </xf>
    <xf numFmtId="164" fontId="25" fillId="0" borderId="0" xfId="1" applyNumberFormat="1" applyFont="1" applyBorder="1" applyAlignment="1">
      <alignment horizontal="center" vertical="center" wrapText="1" readingOrder="2"/>
    </xf>
    <xf numFmtId="165" fontId="25" fillId="0" borderId="3" xfId="1" applyNumberFormat="1" applyFont="1" applyBorder="1" applyAlignment="1">
      <alignment horizontal="center" vertical="center" wrapText="1" readingOrder="2"/>
    </xf>
    <xf numFmtId="165" fontId="25" fillId="0" borderId="0" xfId="1" applyNumberFormat="1" applyFont="1" applyBorder="1" applyAlignment="1">
      <alignment horizontal="center" vertical="center" wrapText="1" readingOrder="2"/>
    </xf>
    <xf numFmtId="0" fontId="25" fillId="0" borderId="3" xfId="0" applyFont="1" applyBorder="1" applyAlignment="1">
      <alignment horizontal="center" vertical="center" wrapText="1" readingOrder="2"/>
    </xf>
    <xf numFmtId="0" fontId="25" fillId="0" borderId="1" xfId="0" applyFont="1" applyBorder="1" applyAlignment="1">
      <alignment horizontal="center" vertical="center" wrapText="1" readingOrder="2"/>
    </xf>
    <xf numFmtId="164" fontId="16" fillId="0" borderId="3" xfId="1" applyNumberFormat="1" applyFont="1" applyBorder="1" applyAlignment="1">
      <alignment horizontal="center" vertical="center" wrapText="1"/>
    </xf>
    <xf numFmtId="164" fontId="16" fillId="0" borderId="0" xfId="1" applyNumberFormat="1" applyFont="1" applyBorder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30" fillId="0" borderId="3" xfId="0" applyFont="1" applyBorder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1" xfId="0" applyFont="1" applyBorder="1" applyAlignment="1">
      <alignment horizontal="center" vertical="center" wrapText="1" readingOrder="2"/>
    </xf>
    <xf numFmtId="0" fontId="21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5" fillId="0" borderId="19" xfId="0" applyFont="1" applyBorder="1" applyAlignment="1">
      <alignment horizontal="center" vertical="center" wrapText="1" readingOrder="2"/>
    </xf>
    <xf numFmtId="0" fontId="65" fillId="0" borderId="19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readingOrder="2"/>
    </xf>
    <xf numFmtId="0" fontId="36" fillId="0" borderId="0" xfId="0" applyFont="1" applyAlignment="1">
      <alignment horizontal="center" vertical="center"/>
    </xf>
    <xf numFmtId="0" fontId="63" fillId="0" borderId="0" xfId="0" applyFont="1" applyAlignment="1">
      <alignment horizontal="right" vertical="center" readingOrder="2"/>
    </xf>
    <xf numFmtId="0" fontId="30" fillId="0" borderId="4" xfId="0" applyFont="1" applyBorder="1" applyAlignment="1">
      <alignment horizontal="center" vertical="center" wrapText="1" readingOrder="2"/>
    </xf>
    <xf numFmtId="164" fontId="19" fillId="0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 vertical="center" wrapText="1" readingOrder="2"/>
    </xf>
    <xf numFmtId="0" fontId="59" fillId="0" borderId="0" xfId="0" applyFont="1" applyAlignment="1">
      <alignment horizontal="center"/>
    </xf>
    <xf numFmtId="0" fontId="69" fillId="0" borderId="0" xfId="0" applyFont="1" applyAlignment="1">
      <alignment horizontal="right" vertical="center" readingOrder="2"/>
    </xf>
    <xf numFmtId="37" fontId="29" fillId="0" borderId="11" xfId="0" applyNumberFormat="1" applyFont="1" applyBorder="1" applyAlignment="1">
      <alignment horizontal="center" vertical="center"/>
    </xf>
    <xf numFmtId="0" fontId="15" fillId="0" borderId="12" xfId="0" applyFont="1" applyBorder="1"/>
    <xf numFmtId="0" fontId="27" fillId="0" borderId="0" xfId="0" applyFont="1" applyAlignment="1">
      <alignment horizontal="right" vertical="center" readingOrder="2"/>
    </xf>
    <xf numFmtId="165" fontId="27" fillId="0" borderId="0" xfId="1" applyNumberFormat="1" applyFont="1" applyAlignment="1">
      <alignment horizontal="right" vertical="center" readingOrder="2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 readingOrder="2"/>
    </xf>
    <xf numFmtId="165" fontId="24" fillId="0" borderId="1" xfId="1" applyNumberFormat="1" applyFont="1" applyFill="1" applyBorder="1" applyAlignment="1">
      <alignment horizontal="center" vertical="center" wrapText="1" readingOrder="2"/>
    </xf>
    <xf numFmtId="165" fontId="27" fillId="0" borderId="0" xfId="1" applyNumberFormat="1" applyFont="1" applyFill="1" applyAlignment="1">
      <alignment horizontal="right" vertical="center" readingOrder="2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23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 readingOrder="2"/>
    </xf>
    <xf numFmtId="164" fontId="7" fillId="0" borderId="0" xfId="0" applyNumberFormat="1" applyFont="1" applyFill="1" applyAlignment="1">
      <alignment horizontal="center" vertical="center" readingOrder="2"/>
    </xf>
    <xf numFmtId="164" fontId="7" fillId="0" borderId="2" xfId="0" applyNumberFormat="1" applyFont="1" applyFill="1" applyBorder="1" applyAlignment="1">
      <alignment horizontal="center" vertical="center" readingOrder="2"/>
    </xf>
    <xf numFmtId="0" fontId="13" fillId="0" borderId="0" xfId="0" applyFont="1" applyFill="1" applyAlignment="1">
      <alignment horizontal="center"/>
    </xf>
    <xf numFmtId="164" fontId="21" fillId="0" borderId="2" xfId="1" applyNumberFormat="1" applyFont="1" applyFill="1" applyBorder="1" applyAlignment="1">
      <alignment horizontal="center" vertical="center" readingOrder="2"/>
    </xf>
    <xf numFmtId="164" fontId="13" fillId="0" borderId="2" xfId="1" applyNumberFormat="1" applyFont="1" applyFill="1" applyBorder="1" applyAlignment="1">
      <alignment vertical="center"/>
    </xf>
    <xf numFmtId="0" fontId="15" fillId="0" borderId="0" xfId="0" applyFont="1" applyFill="1"/>
    <xf numFmtId="164" fontId="13" fillId="0" borderId="8" xfId="1" applyNumberFormat="1" applyFont="1" applyFill="1" applyBorder="1" applyAlignment="1">
      <alignment horizontal="center" vertical="center"/>
    </xf>
    <xf numFmtId="164" fontId="19" fillId="0" borderId="0" xfId="1" applyNumberFormat="1" applyFont="1" applyFill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4" fontId="15" fillId="0" borderId="0" xfId="0" applyNumberFormat="1" applyFont="1" applyFill="1"/>
    <xf numFmtId="164" fontId="23" fillId="0" borderId="0" xfId="1" applyNumberFormat="1" applyFont="1" applyFill="1" applyBorder="1" applyAlignment="1">
      <alignment horizontal="left" vertical="center"/>
    </xf>
    <xf numFmtId="165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19" fillId="0" borderId="8" xfId="1" applyNumberFormat="1" applyFont="1" applyFill="1" applyBorder="1" applyAlignment="1">
      <alignment horizontal="center" vertic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689</xdr:rowOff>
    </xdr:from>
    <xdr:to>
      <xdr:col>8</xdr:col>
      <xdr:colOff>523876</xdr:colOff>
      <xdr:row>35</xdr:row>
      <xdr:rowOff>166686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CE9EE5-B804-18E5-F960-CD3165F84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8267124" y="689"/>
          <a:ext cx="5476875" cy="750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8:M31"/>
  <sheetViews>
    <sheetView rightToLeft="1" tabSelected="1" view="pageBreakPreview" zoomScale="90" zoomScaleNormal="100" zoomScaleSheetLayoutView="90" workbookViewId="0">
      <selection activeCell="F44" sqref="F44"/>
    </sheetView>
  </sheetViews>
  <sheetFormatPr defaultColWidth="9.140625" defaultRowHeight="17.25"/>
  <cols>
    <col min="1" max="16384" width="9.140625" style="7"/>
  </cols>
  <sheetData>
    <row r="18" spans="1:13">
      <c r="M18" s="7" t="s">
        <v>55</v>
      </c>
    </row>
    <row r="24" spans="1:13" ht="15" customHeight="1">
      <c r="A24" s="305" t="s">
        <v>69</v>
      </c>
      <c r="B24" s="305"/>
      <c r="C24" s="305"/>
      <c r="D24" s="305"/>
      <c r="E24" s="305"/>
      <c r="F24" s="305"/>
      <c r="G24" s="305"/>
      <c r="H24" s="305"/>
      <c r="I24" s="305"/>
      <c r="J24" s="305"/>
      <c r="K24" s="18"/>
      <c r="L24" s="18"/>
    </row>
    <row r="25" spans="1:13" ht="15" customHeight="1">
      <c r="A25" s="305"/>
      <c r="B25" s="305"/>
      <c r="C25" s="305"/>
      <c r="D25" s="305"/>
      <c r="E25" s="305"/>
      <c r="F25" s="305"/>
      <c r="G25" s="305"/>
      <c r="H25" s="305"/>
      <c r="I25" s="305"/>
      <c r="J25" s="305"/>
      <c r="K25" s="18"/>
      <c r="L25" s="18"/>
    </row>
    <row r="26" spans="1:13" ht="15" customHeight="1">
      <c r="A26" s="305"/>
      <c r="B26" s="305"/>
      <c r="C26" s="305"/>
      <c r="D26" s="305"/>
      <c r="E26" s="305"/>
      <c r="F26" s="305"/>
      <c r="G26" s="305"/>
      <c r="H26" s="305"/>
      <c r="I26" s="305"/>
      <c r="J26" s="305"/>
      <c r="K26" s="18"/>
      <c r="L26" s="18"/>
    </row>
    <row r="28" spans="1:13" ht="15" customHeight="1">
      <c r="A28" s="305" t="s">
        <v>353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</row>
    <row r="29" spans="1:13" ht="15" customHeight="1">
      <c r="A29" s="305"/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</row>
    <row r="30" spans="1:13" ht="15" customHeight="1">
      <c r="A30" s="305"/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5"/>
    </row>
    <row r="31" spans="1:13" ht="15" customHeight="1">
      <c r="A31" s="305"/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79998168889431442"/>
    <pageSetUpPr fitToPage="1"/>
  </sheetPr>
  <dimension ref="A1:N118"/>
  <sheetViews>
    <sheetView rightToLeft="1" view="pageBreakPreview" topLeftCell="A115" zoomScaleNormal="100" zoomScaleSheetLayoutView="100" workbookViewId="0">
      <selection activeCell="A118" sqref="A118:XFD122"/>
    </sheetView>
  </sheetViews>
  <sheetFormatPr defaultColWidth="9.140625" defaultRowHeight="21.75"/>
  <cols>
    <col min="1" max="1" width="43" style="109" customWidth="1"/>
    <col min="2" max="2" width="0.7109375" style="109" customWidth="1"/>
    <col min="3" max="3" width="22.85546875" style="109" customWidth="1"/>
    <col min="4" max="4" width="0.7109375" style="109" customWidth="1"/>
    <col min="5" max="5" width="18.42578125" style="72" customWidth="1"/>
    <col min="6" max="6" width="1.42578125" style="72" customWidth="1"/>
    <col min="7" max="7" width="21.7109375" style="72" customWidth="1"/>
    <col min="8" max="8" width="1.42578125" style="72" customWidth="1"/>
    <col min="9" max="9" width="19.5703125" style="72" customWidth="1"/>
    <col min="10" max="10" width="1.28515625" style="109" customWidth="1"/>
    <col min="11" max="11" width="22" style="109" customWidth="1"/>
    <col min="12" max="12" width="0.7109375" style="109" customWidth="1"/>
    <col min="13" max="13" width="25.5703125" style="109" customWidth="1"/>
    <col min="14" max="15" width="18" style="109" customWidth="1"/>
    <col min="16" max="16384" width="9.140625" style="109"/>
  </cols>
  <sheetData>
    <row r="1" spans="1:14" ht="22.5">
      <c r="A1" s="369" t="s">
        <v>84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</row>
    <row r="2" spans="1:14" ht="22.5">
      <c r="A2" s="369" t="s">
        <v>53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</row>
    <row r="3" spans="1:14" ht="22.5">
      <c r="A3" s="369" t="str">
        <f>' سهام'!A3:W3</f>
        <v>برای ماه منتهی به 1403/05/31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</row>
    <row r="4" spans="1:14">
      <c r="A4" s="341" t="s">
        <v>28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</row>
    <row r="5" spans="1:14" ht="22.5" thickBot="1">
      <c r="A5" s="142"/>
      <c r="B5" s="142"/>
      <c r="C5" s="142"/>
      <c r="D5" s="141"/>
      <c r="E5" s="65"/>
      <c r="F5" s="65"/>
      <c r="G5" s="65"/>
      <c r="H5" s="65"/>
      <c r="I5" s="65"/>
      <c r="J5" s="142"/>
      <c r="K5" s="142"/>
      <c r="L5" s="142"/>
    </row>
    <row r="6" spans="1:14" ht="37.5" customHeight="1" thickBot="1">
      <c r="A6" s="380" t="s">
        <v>18</v>
      </c>
      <c r="B6" s="380"/>
      <c r="C6" s="380"/>
      <c r="D6" s="145"/>
      <c r="E6" s="381" t="s">
        <v>375</v>
      </c>
      <c r="F6" s="381"/>
      <c r="G6" s="381"/>
      <c r="H6" s="381"/>
      <c r="I6" s="380" t="s">
        <v>376</v>
      </c>
      <c r="J6" s="380"/>
      <c r="K6" s="380"/>
      <c r="L6" s="380"/>
    </row>
    <row r="7" spans="1:14" ht="37.5">
      <c r="A7" s="186" t="s">
        <v>14</v>
      </c>
      <c r="B7" s="145"/>
      <c r="C7" s="186" t="s">
        <v>9</v>
      </c>
      <c r="D7" s="181"/>
      <c r="E7" s="83" t="s">
        <v>15</v>
      </c>
      <c r="F7" s="84"/>
      <c r="G7" s="83" t="s">
        <v>16</v>
      </c>
      <c r="H7" s="85"/>
      <c r="I7" s="83" t="s">
        <v>15</v>
      </c>
      <c r="J7" s="145"/>
      <c r="K7" s="186" t="s">
        <v>16</v>
      </c>
      <c r="L7" s="145"/>
    </row>
    <row r="8" spans="1:14">
      <c r="A8" s="187" t="s">
        <v>108</v>
      </c>
      <c r="B8" s="145"/>
      <c r="C8" s="193" t="s">
        <v>97</v>
      </c>
      <c r="D8" s="181"/>
      <c r="E8" s="68">
        <f>VLOOKUP(A8,'سود سپرده بانکی'!$A$7:$N$115,8,0)</f>
        <v>2451</v>
      </c>
      <c r="F8" s="84"/>
      <c r="G8" s="108">
        <f>E8/$E$117</f>
        <v>6.2288884315660048E-7</v>
      </c>
      <c r="H8" s="92"/>
      <c r="I8" s="68">
        <f>VLOOKUP(A8,'سود سپرده بانکی'!$A$7:$N$115,14,0)</f>
        <v>19107</v>
      </c>
      <c r="J8" s="145"/>
      <c r="K8" s="108">
        <f>I8/$I$117</f>
        <v>8.1597296830851456E-8</v>
      </c>
      <c r="L8" s="145"/>
      <c r="N8" s="185"/>
    </row>
    <row r="9" spans="1:14">
      <c r="A9" s="187" t="s">
        <v>101</v>
      </c>
      <c r="B9" s="145"/>
      <c r="C9" s="193" t="s">
        <v>103</v>
      </c>
      <c r="D9" s="181"/>
      <c r="E9" s="68">
        <f>VLOOKUP(A9,'سود سپرده بانکی'!$A$7:$N$115,8,0)</f>
        <v>105783571</v>
      </c>
      <c r="F9" s="84"/>
      <c r="G9" s="108">
        <f t="shared" ref="G9:G72" si="0">E9/$E$117</f>
        <v>2.6883478647557777E-2</v>
      </c>
      <c r="H9" s="92"/>
      <c r="I9" s="68">
        <f>VLOOKUP(A9,'سود سپرده بانکی'!$A$7:$N$115,14,0)</f>
        <v>8573715896</v>
      </c>
      <c r="J9" s="145"/>
      <c r="K9" s="108">
        <f t="shared" ref="K9:K72" si="1">I9/$I$117</f>
        <v>3.661443664150843E-2</v>
      </c>
      <c r="L9" s="145"/>
      <c r="N9" s="185"/>
    </row>
    <row r="10" spans="1:14">
      <c r="A10" s="187" t="s">
        <v>176</v>
      </c>
      <c r="B10" s="145"/>
      <c r="C10" s="193" t="s">
        <v>198</v>
      </c>
      <c r="D10" s="181"/>
      <c r="E10" s="68">
        <f>VLOOKUP(A10,'سود سپرده بانکی'!$A$7:$N$115,8,0)</f>
        <v>0</v>
      </c>
      <c r="F10" s="84"/>
      <c r="G10" s="108">
        <f t="shared" si="0"/>
        <v>0</v>
      </c>
      <c r="H10" s="92"/>
      <c r="I10" s="68">
        <f>VLOOKUP(A10,'سود سپرده بانکی'!$A$7:$N$115,14,0)</f>
        <v>1133061072.2616823</v>
      </c>
      <c r="J10" s="145"/>
      <c r="K10" s="108">
        <f t="shared" si="1"/>
        <v>4.8387879123263366E-3</v>
      </c>
      <c r="L10" s="145"/>
      <c r="N10" s="185"/>
    </row>
    <row r="11" spans="1:14">
      <c r="A11" s="187" t="s">
        <v>113</v>
      </c>
      <c r="B11" s="145"/>
      <c r="C11" s="193" t="s">
        <v>120</v>
      </c>
      <c r="D11" s="181"/>
      <c r="E11" s="68">
        <f>VLOOKUP(A11,'سود سپرده بانکی'!$A$7:$N$115,8,0)</f>
        <v>0</v>
      </c>
      <c r="F11" s="84"/>
      <c r="G11" s="108">
        <f t="shared" si="0"/>
        <v>0</v>
      </c>
      <c r="H11" s="92"/>
      <c r="I11" s="68">
        <f>VLOOKUP(A11,'سود سپرده بانکی'!$A$7:$N$115,14,0)</f>
        <v>10554357.980769232</v>
      </c>
      <c r="J11" s="145"/>
      <c r="K11" s="108">
        <f t="shared" si="1"/>
        <v>4.5072857121258861E-5</v>
      </c>
      <c r="L11" s="145"/>
      <c r="N11" s="185"/>
    </row>
    <row r="12" spans="1:14">
      <c r="A12" s="187" t="s">
        <v>115</v>
      </c>
      <c r="B12" s="145"/>
      <c r="C12" s="193" t="s">
        <v>119</v>
      </c>
      <c r="D12" s="181"/>
      <c r="E12" s="68">
        <f>VLOOKUP(A12,'سود سپرده بانکی'!$A$7:$N$115,8,0)</f>
        <v>0</v>
      </c>
      <c r="F12" s="84"/>
      <c r="G12" s="108">
        <f t="shared" si="0"/>
        <v>0</v>
      </c>
      <c r="H12" s="92"/>
      <c r="I12" s="68">
        <f>VLOOKUP(A12,'سود سپرده بانکی'!$A$7:$N$115,14,0)</f>
        <v>13592275.961538462</v>
      </c>
      <c r="J12" s="145"/>
      <c r="K12" s="108">
        <f t="shared" si="1"/>
        <v>5.8046421533495622E-5</v>
      </c>
      <c r="L12" s="145"/>
      <c r="N12" s="185"/>
    </row>
    <row r="13" spans="1:14">
      <c r="A13" s="187" t="s">
        <v>179</v>
      </c>
      <c r="B13" s="145"/>
      <c r="C13" s="193" t="s">
        <v>201</v>
      </c>
      <c r="D13" s="181"/>
      <c r="E13" s="68">
        <f>VLOOKUP(A13,'سود سپرده بانکی'!$A$7:$N$115,8,0)</f>
        <v>0</v>
      </c>
      <c r="F13" s="84"/>
      <c r="G13" s="108">
        <f t="shared" si="0"/>
        <v>0</v>
      </c>
      <c r="H13" s="92"/>
      <c r="I13" s="68">
        <f>VLOOKUP(A13,'سود سپرده بانکی'!$A$7:$N$115,14,0)</f>
        <v>11624457203.831776</v>
      </c>
      <c r="J13" s="145"/>
      <c r="K13" s="108">
        <f t="shared" si="1"/>
        <v>4.9642763644663787E-2</v>
      </c>
      <c r="L13" s="145"/>
      <c r="N13" s="185"/>
    </row>
    <row r="14" spans="1:14">
      <c r="A14" s="187" t="s">
        <v>125</v>
      </c>
      <c r="B14" s="145"/>
      <c r="C14" s="193" t="s">
        <v>128</v>
      </c>
      <c r="D14" s="181"/>
      <c r="E14" s="68">
        <f>VLOOKUP(A14,'سود سپرده بانکی'!$A$7:$N$115,8,0)</f>
        <v>0</v>
      </c>
      <c r="F14" s="84"/>
      <c r="G14" s="108">
        <f t="shared" si="0"/>
        <v>0</v>
      </c>
      <c r="H14" s="92"/>
      <c r="I14" s="68">
        <f>VLOOKUP(A14,'سود سپرده بانکی'!$A$7:$N$115,14,0)</f>
        <v>3312018277.5862069</v>
      </c>
      <c r="J14" s="145"/>
      <c r="K14" s="108">
        <f t="shared" si="1"/>
        <v>1.4144121971288382E-2</v>
      </c>
      <c r="L14" s="145"/>
      <c r="N14" s="185"/>
    </row>
    <row r="15" spans="1:14">
      <c r="A15" s="187" t="s">
        <v>123</v>
      </c>
      <c r="B15" s="145"/>
      <c r="C15" s="193" t="s">
        <v>126</v>
      </c>
      <c r="D15" s="181"/>
      <c r="E15" s="68">
        <f>VLOOKUP(A15,'سود سپرده بانکی'!$A$7:$N$115,8,0)</f>
        <v>0</v>
      </c>
      <c r="F15" s="84"/>
      <c r="G15" s="108">
        <f t="shared" si="0"/>
        <v>0</v>
      </c>
      <c r="H15" s="92"/>
      <c r="I15" s="68">
        <f>VLOOKUP(A15,'سود سپرده بانکی'!$A$7:$N$115,14,0)</f>
        <v>2858263320.6896553</v>
      </c>
      <c r="J15" s="145"/>
      <c r="K15" s="108">
        <f t="shared" si="1"/>
        <v>1.2206341162874808E-2</v>
      </c>
      <c r="L15" s="145"/>
      <c r="N15" s="185"/>
    </row>
    <row r="16" spans="1:14">
      <c r="A16" s="187" t="s">
        <v>107</v>
      </c>
      <c r="B16" s="145"/>
      <c r="C16" s="193" t="s">
        <v>100</v>
      </c>
      <c r="D16" s="181"/>
      <c r="E16" s="68">
        <f>VLOOKUP(A16,'سود سپرده بانکی'!$A$7:$N$115,8,0)</f>
        <v>5501</v>
      </c>
      <c r="F16" s="84"/>
      <c r="G16" s="108">
        <f t="shared" si="0"/>
        <v>1.3980055186472703E-6</v>
      </c>
      <c r="H16" s="92"/>
      <c r="I16" s="68">
        <f>VLOOKUP(A16,'سود سپرده بانکی'!$A$7:$N$115,14,0)</f>
        <v>163748652</v>
      </c>
      <c r="J16" s="145"/>
      <c r="K16" s="108">
        <f t="shared" si="1"/>
        <v>6.9929593148562296E-4</v>
      </c>
      <c r="L16" s="145"/>
      <c r="N16" s="185"/>
    </row>
    <row r="17" spans="1:14">
      <c r="A17" s="187" t="s">
        <v>105</v>
      </c>
      <c r="B17" s="145"/>
      <c r="C17" s="193" t="s">
        <v>95</v>
      </c>
      <c r="D17" s="181"/>
      <c r="E17" s="68">
        <f>VLOOKUP(A17,'سود سپرده بانکی'!$A$7:$N$115,8,0)</f>
        <v>10385</v>
      </c>
      <c r="F17" s="84"/>
      <c r="G17" s="108">
        <f t="shared" si="0"/>
        <v>2.6392087458920019E-6</v>
      </c>
      <c r="H17" s="92"/>
      <c r="I17" s="68">
        <f>VLOOKUP(A17,'سود سپرده بانکی'!$A$7:$N$115,14,0)</f>
        <v>80252</v>
      </c>
      <c r="J17" s="145"/>
      <c r="K17" s="108">
        <f t="shared" si="1"/>
        <v>3.4271975010569381E-7</v>
      </c>
      <c r="L17" s="145"/>
      <c r="N17" s="185"/>
    </row>
    <row r="18" spans="1:14">
      <c r="A18" s="187" t="s">
        <v>114</v>
      </c>
      <c r="B18" s="145"/>
      <c r="C18" s="193" t="s">
        <v>118</v>
      </c>
      <c r="D18" s="181"/>
      <c r="E18" s="68">
        <f>VLOOKUP(A18,'سود سپرده بانکی'!$A$7:$N$115,8,0)</f>
        <v>1545</v>
      </c>
      <c r="F18" s="84"/>
      <c r="G18" s="108">
        <f t="shared" si="0"/>
        <v>3.9264107004363434E-7</v>
      </c>
      <c r="H18" s="92"/>
      <c r="I18" s="68">
        <f>VLOOKUP(A18,'سود سپرده بانکی'!$A$7:$N$115,14,0)</f>
        <v>22120</v>
      </c>
      <c r="J18" s="145"/>
      <c r="K18" s="108">
        <f t="shared" si="1"/>
        <v>9.4464447893360248E-8</v>
      </c>
      <c r="L18" s="145"/>
      <c r="N18" s="185"/>
    </row>
    <row r="19" spans="1:14">
      <c r="A19" s="187" t="s">
        <v>146</v>
      </c>
      <c r="B19" s="145"/>
      <c r="C19" s="193" t="s">
        <v>156</v>
      </c>
      <c r="D19" s="181"/>
      <c r="E19" s="68">
        <f>VLOOKUP(A19,'سود سپرده بانکی'!$A$7:$N$115,8,0)</f>
        <v>5785</v>
      </c>
      <c r="F19" s="84"/>
      <c r="G19" s="108">
        <f t="shared" si="0"/>
        <v>1.4701803172831227E-6</v>
      </c>
      <c r="H19" s="92"/>
      <c r="I19" s="68">
        <f>VLOOKUP(A19,'سود سپرده بانکی'!$A$7:$N$115,14,0)</f>
        <v>269390</v>
      </c>
      <c r="J19" s="145"/>
      <c r="K19" s="108">
        <f t="shared" si="1"/>
        <v>1.1504420261298516E-6</v>
      </c>
      <c r="L19" s="145"/>
      <c r="N19" s="185"/>
    </row>
    <row r="20" spans="1:14">
      <c r="A20" s="187" t="s">
        <v>152</v>
      </c>
      <c r="B20" s="145"/>
      <c r="C20" s="193" t="s">
        <v>162</v>
      </c>
      <c r="D20" s="181"/>
      <c r="E20" s="68">
        <f>VLOOKUP(A20,'سود سپرده بانکی'!$A$7:$N$115,8,0)</f>
        <v>0</v>
      </c>
      <c r="F20" s="84"/>
      <c r="G20" s="108">
        <f t="shared" si="0"/>
        <v>0</v>
      </c>
      <c r="H20" s="92"/>
      <c r="I20" s="68">
        <f>VLOOKUP(A20,'سود سپرده بانکی'!$A$7:$N$115,14,0)</f>
        <v>2568975880</v>
      </c>
      <c r="J20" s="145"/>
      <c r="K20" s="108">
        <f t="shared" si="1"/>
        <v>1.0970926227647346E-2</v>
      </c>
      <c r="L20" s="145"/>
      <c r="N20" s="185"/>
    </row>
    <row r="21" spans="1:14">
      <c r="A21" s="187" t="s">
        <v>145</v>
      </c>
      <c r="B21" s="145"/>
      <c r="C21" s="193" t="s">
        <v>155</v>
      </c>
      <c r="D21" s="181"/>
      <c r="E21" s="68">
        <f>VLOOKUP(A21,'سود سپرده بانکی'!$A$7:$N$115,8,0)</f>
        <v>0</v>
      </c>
      <c r="F21" s="84"/>
      <c r="G21" s="108">
        <f t="shared" si="0"/>
        <v>0</v>
      </c>
      <c r="H21" s="92"/>
      <c r="I21" s="68">
        <f>VLOOKUP(A21,'سود سپرده بانکی'!$A$7:$N$115,14,0)</f>
        <v>8684023392</v>
      </c>
      <c r="J21" s="145"/>
      <c r="K21" s="108">
        <f t="shared" si="1"/>
        <v>3.7085509729579816E-2</v>
      </c>
      <c r="L21" s="145"/>
      <c r="N21" s="185"/>
    </row>
    <row r="22" spans="1:14">
      <c r="A22" s="187" t="s">
        <v>153</v>
      </c>
      <c r="B22" s="7"/>
      <c r="C22" s="193" t="s">
        <v>163</v>
      </c>
      <c r="D22" s="7"/>
      <c r="E22" s="68">
        <f>VLOOKUP(A22,'سود سپرده بانکی'!$A$7:$N$115,8,0)</f>
        <v>0</v>
      </c>
      <c r="F22" s="7"/>
      <c r="G22" s="108">
        <f t="shared" si="0"/>
        <v>0</v>
      </c>
      <c r="H22" s="7"/>
      <c r="I22" s="68">
        <f>VLOOKUP(A22,'سود سپرده بانکی'!$A$7:$N$115,14,0)</f>
        <v>2904567523.3333335</v>
      </c>
      <c r="J22" s="7"/>
      <c r="K22" s="108">
        <f t="shared" si="1"/>
        <v>1.2404085328239969E-2</v>
      </c>
      <c r="L22" s="145"/>
      <c r="N22" s="185"/>
    </row>
    <row r="23" spans="1:14">
      <c r="A23" s="187" t="s">
        <v>148</v>
      </c>
      <c r="B23" s="7"/>
      <c r="C23" s="193" t="s">
        <v>158</v>
      </c>
      <c r="D23" s="7"/>
      <c r="E23" s="68">
        <f>VLOOKUP(A23,'سود سپرده بانکی'!$A$7:$N$115,8,0)</f>
        <v>0</v>
      </c>
      <c r="F23" s="7"/>
      <c r="G23" s="108">
        <f t="shared" si="0"/>
        <v>0</v>
      </c>
      <c r="H23" s="7"/>
      <c r="I23" s="68">
        <f>VLOOKUP(A23,'سود سپرده بانکی'!$A$7:$N$115,14,0)</f>
        <v>1208835618.3333333</v>
      </c>
      <c r="J23" s="7"/>
      <c r="K23" s="108">
        <f t="shared" si="1"/>
        <v>5.1623864954650576E-3</v>
      </c>
      <c r="L23" s="145"/>
      <c r="N23" s="185"/>
    </row>
    <row r="24" spans="1:14">
      <c r="A24" s="187" t="s">
        <v>133</v>
      </c>
      <c r="B24" s="7"/>
      <c r="C24" s="193" t="s">
        <v>138</v>
      </c>
      <c r="D24" s="7"/>
      <c r="E24" s="68">
        <f>VLOOKUP(A24,'سود سپرده بانکی'!$A$7:$N$115,8,0)</f>
        <v>0</v>
      </c>
      <c r="F24" s="7"/>
      <c r="G24" s="108">
        <f t="shared" si="0"/>
        <v>0</v>
      </c>
      <c r="H24" s="7"/>
      <c r="I24" s="68">
        <f>VLOOKUP(A24,'سود سپرده بانکی'!$A$7:$N$115,14,0)</f>
        <v>883561645</v>
      </c>
      <c r="J24" s="7"/>
      <c r="K24" s="108">
        <f t="shared" si="1"/>
        <v>3.7732894654011829E-3</v>
      </c>
      <c r="L24" s="145"/>
      <c r="N24" s="185"/>
    </row>
    <row r="25" spans="1:14">
      <c r="A25" s="187" t="s">
        <v>134</v>
      </c>
      <c r="B25" s="7"/>
      <c r="C25" s="193" t="s">
        <v>139</v>
      </c>
      <c r="D25" s="7"/>
      <c r="E25" s="68">
        <f>VLOOKUP(A25,'سود سپرده بانکی'!$A$7:$N$115,8,0)</f>
        <v>0</v>
      </c>
      <c r="F25" s="7"/>
      <c r="G25" s="108">
        <f t="shared" si="0"/>
        <v>0</v>
      </c>
      <c r="H25" s="7"/>
      <c r="I25" s="68">
        <f>VLOOKUP(A25,'سود سپرده بانکی'!$A$7:$N$115,14,0)</f>
        <v>140235401.03773585</v>
      </c>
      <c r="J25" s="7"/>
      <c r="K25" s="108">
        <f t="shared" si="1"/>
        <v>5.988815431344338E-4</v>
      </c>
      <c r="L25" s="145"/>
      <c r="N25" s="185"/>
    </row>
    <row r="26" spans="1:14">
      <c r="A26" s="187" t="s">
        <v>150</v>
      </c>
      <c r="B26" s="7"/>
      <c r="C26" s="193" t="s">
        <v>160</v>
      </c>
      <c r="D26" s="7"/>
      <c r="E26" s="68">
        <f>VLOOKUP(A26,'سود سپرده بانکی'!$A$7:$N$115,8,0)</f>
        <v>0</v>
      </c>
      <c r="F26" s="7"/>
      <c r="G26" s="108">
        <f t="shared" si="0"/>
        <v>0</v>
      </c>
      <c r="H26" s="7"/>
      <c r="I26" s="68">
        <f>VLOOKUP(A26,'سود سپرده بانکی'!$A$7:$N$115,14,0)</f>
        <v>40068495</v>
      </c>
      <c r="J26" s="7"/>
      <c r="K26" s="108">
        <f t="shared" si="1"/>
        <v>1.7111429738213678E-4</v>
      </c>
      <c r="L26" s="145"/>
      <c r="N26" s="185"/>
    </row>
    <row r="27" spans="1:14">
      <c r="A27" s="187" t="s">
        <v>136</v>
      </c>
      <c r="B27" s="7"/>
      <c r="C27" s="193" t="s">
        <v>141</v>
      </c>
      <c r="D27" s="7"/>
      <c r="E27" s="68">
        <f>VLOOKUP(A27,'سود سپرده بانکی'!$A$7:$N$115,8,0)</f>
        <v>0</v>
      </c>
      <c r="F27" s="7"/>
      <c r="G27" s="108">
        <f t="shared" si="0"/>
        <v>0</v>
      </c>
      <c r="H27" s="7"/>
      <c r="I27" s="68">
        <f>VLOOKUP(A27,'سود سپرده بانکی'!$A$7:$N$115,14,0)</f>
        <v>51828902.830188677</v>
      </c>
      <c r="J27" s="7"/>
      <c r="K27" s="108">
        <f t="shared" si="1"/>
        <v>2.2133764424829973E-4</v>
      </c>
      <c r="L27" s="145"/>
      <c r="N27" s="185"/>
    </row>
    <row r="28" spans="1:14">
      <c r="A28" s="187" t="s">
        <v>340</v>
      </c>
      <c r="B28" s="7"/>
      <c r="C28" s="193" t="s">
        <v>140</v>
      </c>
      <c r="D28" s="7"/>
      <c r="E28" s="68">
        <f>VLOOKUP(A28,'سود سپرده بانکی'!$A$7:$N$115,8,0)</f>
        <v>0</v>
      </c>
      <c r="F28" s="7"/>
      <c r="G28" s="108">
        <f t="shared" si="0"/>
        <v>0</v>
      </c>
      <c r="H28" s="7"/>
      <c r="I28" s="68">
        <f>VLOOKUP(A28,'سود سپرده بانکی'!$A$7:$N$115,14,0)</f>
        <v>3474650956.5000005</v>
      </c>
      <c r="J28" s="7"/>
      <c r="K28" s="108">
        <f t="shared" si="1"/>
        <v>1.4838652089869288E-2</v>
      </c>
      <c r="L28" s="145"/>
      <c r="N28" s="185"/>
    </row>
    <row r="29" spans="1:14">
      <c r="A29" s="187" t="s">
        <v>254</v>
      </c>
      <c r="B29" s="7"/>
      <c r="C29" s="193" t="s">
        <v>295</v>
      </c>
      <c r="D29" s="7"/>
      <c r="E29" s="68">
        <f>VLOOKUP(A29,'سود سپرده بانکی'!$A$7:$N$115,8,0)</f>
        <v>0</v>
      </c>
      <c r="F29" s="7"/>
      <c r="G29" s="108">
        <f t="shared" si="0"/>
        <v>0</v>
      </c>
      <c r="H29" s="7"/>
      <c r="I29" s="68">
        <f>VLOOKUP(A29,'سود سپرده بانکی'!$A$7:$N$115,14,0)</f>
        <v>24265738358.684216</v>
      </c>
      <c r="J29" s="7"/>
      <c r="K29" s="108">
        <f t="shared" si="1"/>
        <v>0.10362791938416989</v>
      </c>
      <c r="L29" s="145"/>
      <c r="N29" s="185"/>
    </row>
    <row r="30" spans="1:14">
      <c r="A30" s="187" t="s">
        <v>135</v>
      </c>
      <c r="B30" s="7"/>
      <c r="C30" s="193" t="s">
        <v>296</v>
      </c>
      <c r="D30" s="7"/>
      <c r="E30" s="68">
        <f>VLOOKUP(A30,'سود سپرده بانکی'!$A$7:$N$115,8,0)</f>
        <v>0</v>
      </c>
      <c r="F30" s="7"/>
      <c r="G30" s="108">
        <f t="shared" si="0"/>
        <v>0</v>
      </c>
      <c r="H30" s="7"/>
      <c r="I30" s="68">
        <f>VLOOKUP(A30,'سود سپرده بانکی'!$A$7:$N$115,14,0)</f>
        <v>80136988.301886797</v>
      </c>
      <c r="J30" s="7"/>
      <c r="K30" s="108">
        <f t="shared" si="1"/>
        <v>3.4222858751240529E-4</v>
      </c>
      <c r="L30" s="145"/>
      <c r="N30" s="185"/>
    </row>
    <row r="31" spans="1:14">
      <c r="A31" s="187" t="s">
        <v>280</v>
      </c>
      <c r="B31" s="7"/>
      <c r="C31" s="193" t="s">
        <v>161</v>
      </c>
      <c r="D31" s="7"/>
      <c r="E31" s="68">
        <f>VLOOKUP(A31,'سود سپرده بانکی'!$A$7:$N$115,8,0)</f>
        <v>84106143.75</v>
      </c>
      <c r="F31" s="7"/>
      <c r="G31" s="108">
        <f t="shared" si="0"/>
        <v>2.1374450666177172E-2</v>
      </c>
      <c r="H31" s="7"/>
      <c r="I31" s="68">
        <f>VLOOKUP(A31,'سود سپرده بانکی'!$A$7:$N$115,14,0)</f>
        <v>3967667780.2500005</v>
      </c>
      <c r="J31" s="7"/>
      <c r="K31" s="108">
        <f t="shared" si="1"/>
        <v>1.694410245414062E-2</v>
      </c>
      <c r="L31" s="145"/>
      <c r="N31" s="185"/>
    </row>
    <row r="32" spans="1:14">
      <c r="A32" s="187" t="s">
        <v>281</v>
      </c>
      <c r="B32" s="7"/>
      <c r="C32" s="193" t="s">
        <v>193</v>
      </c>
      <c r="D32" s="7"/>
      <c r="E32" s="68">
        <f>VLOOKUP(A32,'سود سپرده بانکی'!$A$7:$N$115,8,0)</f>
        <v>233244570</v>
      </c>
      <c r="F32" s="7"/>
      <c r="G32" s="108">
        <f t="shared" si="0"/>
        <v>5.927598546709862E-2</v>
      </c>
      <c r="H32" s="7"/>
      <c r="I32" s="68">
        <f>VLOOKUP(A32,'سود سپرده بانکی'!$A$7:$N$115,14,0)</f>
        <v>11550436336.500002</v>
      </c>
      <c r="J32" s="7"/>
      <c r="K32" s="108">
        <f t="shared" si="1"/>
        <v>4.9326654224904128E-2</v>
      </c>
      <c r="L32" s="145"/>
      <c r="N32" s="185"/>
    </row>
    <row r="33" spans="1:14">
      <c r="A33" s="187" t="s">
        <v>151</v>
      </c>
      <c r="B33" s="7"/>
      <c r="C33" s="193" t="s">
        <v>273</v>
      </c>
      <c r="D33" s="7"/>
      <c r="E33" s="68">
        <f>VLOOKUP(A33,'سود سپرده بانکی'!$A$7:$N$115,8,0)</f>
        <v>0</v>
      </c>
      <c r="F33" s="7"/>
      <c r="G33" s="108">
        <f t="shared" si="0"/>
        <v>0</v>
      </c>
      <c r="H33" s="7"/>
      <c r="I33" s="68">
        <f>VLOOKUP(A33,'سود سپرده بانکی'!$A$7:$N$115,14,0)</f>
        <v>920809462.92452824</v>
      </c>
      <c r="J33" s="7"/>
      <c r="K33" s="108">
        <f t="shared" si="1"/>
        <v>3.9323579353592736E-3</v>
      </c>
      <c r="L33" s="145"/>
      <c r="N33" s="185"/>
    </row>
    <row r="34" spans="1:14">
      <c r="A34" s="187" t="s">
        <v>171</v>
      </c>
      <c r="B34" s="7"/>
      <c r="C34" s="193" t="s">
        <v>260</v>
      </c>
      <c r="D34" s="7"/>
      <c r="E34" s="68">
        <f>VLOOKUP(A34,'سود سپرده بانکی'!$A$7:$N$115,8,0)</f>
        <v>107961</v>
      </c>
      <c r="F34" s="7"/>
      <c r="G34" s="108">
        <f t="shared" si="0"/>
        <v>2.7436843082835474E-5</v>
      </c>
      <c r="H34" s="7"/>
      <c r="I34" s="68">
        <f>VLOOKUP(A34,'سود سپرده بانکی'!$A$7:$N$115,14,0)</f>
        <v>296038976</v>
      </c>
      <c r="J34" s="7"/>
      <c r="K34" s="108">
        <f t="shared" si="1"/>
        <v>1.2642476682981792E-3</v>
      </c>
      <c r="L34" s="145"/>
      <c r="N34" s="185"/>
    </row>
    <row r="35" spans="1:14">
      <c r="A35" s="187" t="s">
        <v>268</v>
      </c>
      <c r="B35" s="7"/>
      <c r="C35" s="193" t="s">
        <v>297</v>
      </c>
      <c r="D35" s="7"/>
      <c r="E35" s="68">
        <f>VLOOKUP(A35,'سود سپرده بانکی'!$A$7:$N$115,8,0)</f>
        <v>935175515</v>
      </c>
      <c r="F35" s="7"/>
      <c r="G35" s="108">
        <f t="shared" si="0"/>
        <v>0.2376623397334672</v>
      </c>
      <c r="H35" s="7"/>
      <c r="I35" s="68">
        <f>VLOOKUP(A35,'سود سپرده بانکی'!$A$7:$N$115,14,0)</f>
        <v>5521469574.000001</v>
      </c>
      <c r="J35" s="7"/>
      <c r="K35" s="108">
        <f t="shared" si="1"/>
        <v>2.3579682408132779E-2</v>
      </c>
      <c r="L35" s="145"/>
      <c r="N35" s="185"/>
    </row>
    <row r="36" spans="1:14">
      <c r="A36" s="187" t="s">
        <v>253</v>
      </c>
      <c r="B36" s="7"/>
      <c r="C36" s="193" t="s">
        <v>298</v>
      </c>
      <c r="D36" s="7"/>
      <c r="E36" s="68">
        <f>VLOOKUP(A36,'سود سپرده بانکی'!$A$7:$N$115,8,0)</f>
        <v>0</v>
      </c>
      <c r="F36" s="7"/>
      <c r="G36" s="108">
        <f t="shared" si="0"/>
        <v>0</v>
      </c>
      <c r="H36" s="7"/>
      <c r="I36" s="68">
        <f>VLOOKUP(A36,'سود سپرده بانکی'!$A$7:$N$115,14,0)</f>
        <v>820885966</v>
      </c>
      <c r="J36" s="7"/>
      <c r="K36" s="108">
        <f t="shared" si="1"/>
        <v>3.5056301790957365E-3</v>
      </c>
      <c r="L36" s="145"/>
      <c r="N36" s="185"/>
    </row>
    <row r="37" spans="1:14">
      <c r="A37" s="187" t="s">
        <v>282</v>
      </c>
      <c r="B37" s="7"/>
      <c r="C37" s="193" t="s">
        <v>299</v>
      </c>
      <c r="D37" s="7"/>
      <c r="E37" s="68">
        <f>VLOOKUP(A37,'سود سپرده بانکی'!$A$7:$N$115,8,0)</f>
        <v>37569452</v>
      </c>
      <c r="F37" s="7"/>
      <c r="G37" s="108">
        <f t="shared" si="0"/>
        <v>9.5477733554905873E-3</v>
      </c>
      <c r="H37" s="7"/>
      <c r="I37" s="68">
        <f>VLOOKUP(A37,'سود سپرده بانکی'!$A$7:$N$115,14,0)</f>
        <v>136264556</v>
      </c>
      <c r="J37" s="7"/>
      <c r="K37" s="108">
        <f t="shared" si="1"/>
        <v>5.819238720603015E-4</v>
      </c>
      <c r="L37" s="145"/>
      <c r="N37" s="185"/>
    </row>
    <row r="38" spans="1:14">
      <c r="A38" s="187" t="s">
        <v>283</v>
      </c>
      <c r="B38" s="7"/>
      <c r="C38" s="193" t="s">
        <v>300</v>
      </c>
      <c r="D38" s="7"/>
      <c r="E38" s="68">
        <f>VLOOKUP(A38,'سود سپرده بانکی'!$A$7:$N$115,8,0)</f>
        <v>0</v>
      </c>
      <c r="F38" s="7"/>
      <c r="G38" s="108">
        <f t="shared" si="0"/>
        <v>0</v>
      </c>
      <c r="H38" s="7"/>
      <c r="I38" s="68">
        <f>VLOOKUP(A38,'سود سپرده بانکی'!$A$7:$N$115,14,0)</f>
        <v>118442467</v>
      </c>
      <c r="J38" s="7"/>
      <c r="K38" s="108">
        <f t="shared" si="1"/>
        <v>5.058138450398979E-4</v>
      </c>
      <c r="L38" s="145"/>
      <c r="N38" s="185"/>
    </row>
    <row r="39" spans="1:14">
      <c r="A39" s="187" t="s">
        <v>284</v>
      </c>
      <c r="B39" s="7"/>
      <c r="C39" s="193" t="s">
        <v>301</v>
      </c>
      <c r="D39" s="7"/>
      <c r="E39" s="68">
        <f>VLOOKUP(A39,'سود سپرده بانکی'!$A$7:$N$115,8,0)</f>
        <v>0</v>
      </c>
      <c r="F39" s="7"/>
      <c r="G39" s="108">
        <f t="shared" si="0"/>
        <v>0</v>
      </c>
      <c r="H39" s="7"/>
      <c r="I39" s="68">
        <f>VLOOKUP(A39,'سود سپرده بانکی'!$A$7:$N$115,14,0)</f>
        <v>546622397</v>
      </c>
      <c r="J39" s="7"/>
      <c r="K39" s="108">
        <f t="shared" si="1"/>
        <v>2.3343753588946736E-3</v>
      </c>
      <c r="L39" s="145"/>
      <c r="N39" s="185"/>
    </row>
    <row r="40" spans="1:14">
      <c r="A40" s="187" t="s">
        <v>285</v>
      </c>
      <c r="B40" s="7"/>
      <c r="C40" s="193" t="s">
        <v>302</v>
      </c>
      <c r="D40" s="7"/>
      <c r="E40" s="68">
        <f>VLOOKUP(A40,'سود سپرده بانکی'!$A$7:$N$115,8,0)</f>
        <v>0</v>
      </c>
      <c r="F40" s="7"/>
      <c r="G40" s="108">
        <f t="shared" si="0"/>
        <v>0</v>
      </c>
      <c r="H40" s="7"/>
      <c r="I40" s="68">
        <f>VLOOKUP(A40,'سود سپرده بانکی'!$A$7:$N$115,14,0)</f>
        <v>307566986.00000006</v>
      </c>
      <c r="J40" s="7"/>
      <c r="K40" s="108">
        <f t="shared" si="1"/>
        <v>1.3134785498514858E-3</v>
      </c>
      <c r="L40" s="145"/>
      <c r="N40" s="185"/>
    </row>
    <row r="41" spans="1:14">
      <c r="A41" s="187" t="s">
        <v>286</v>
      </c>
      <c r="B41" s="7"/>
      <c r="C41" s="193" t="s">
        <v>303</v>
      </c>
      <c r="D41" s="7"/>
      <c r="E41" s="68">
        <f>VLOOKUP(A41,'سود سپرده بانکی'!$A$7:$N$115,8,0)</f>
        <v>19835753</v>
      </c>
      <c r="F41" s="7"/>
      <c r="G41" s="108">
        <f t="shared" si="0"/>
        <v>5.0409911217095338E-3</v>
      </c>
      <c r="H41" s="7"/>
      <c r="I41" s="68">
        <f>VLOOKUP(A41,'سود سپرده بانکی'!$A$7:$N$115,14,0)</f>
        <v>71944354</v>
      </c>
      <c r="J41" s="7"/>
      <c r="K41" s="108">
        <f t="shared" si="1"/>
        <v>3.0724157683790522E-4</v>
      </c>
      <c r="L41" s="145"/>
      <c r="N41" s="185"/>
    </row>
    <row r="42" spans="1:14">
      <c r="A42" s="187" t="s">
        <v>287</v>
      </c>
      <c r="B42" s="7"/>
      <c r="C42" s="193" t="s">
        <v>304</v>
      </c>
      <c r="D42" s="7"/>
      <c r="E42" s="68">
        <f>VLOOKUP(A42,'سود سپرده بانکی'!$A$7:$N$115,8,0)</f>
        <v>0</v>
      </c>
      <c r="F42" s="7"/>
      <c r="G42" s="108">
        <f t="shared" si="0"/>
        <v>0</v>
      </c>
      <c r="H42" s="7"/>
      <c r="I42" s="68">
        <f>VLOOKUP(A42,'سود سپرده بانکی'!$A$7:$N$115,14,0)</f>
        <v>1386398219.0000002</v>
      </c>
      <c r="J42" s="7"/>
      <c r="K42" s="108">
        <f t="shared" si="1"/>
        <v>5.9206755116714728E-3</v>
      </c>
      <c r="L42" s="145"/>
      <c r="N42" s="185"/>
    </row>
    <row r="43" spans="1:14">
      <c r="A43" s="187" t="s">
        <v>288</v>
      </c>
      <c r="B43" s="7"/>
      <c r="C43" s="193" t="s">
        <v>305</v>
      </c>
      <c r="D43" s="7"/>
      <c r="E43" s="68">
        <f>VLOOKUP(A43,'سود سپرده بانکی'!$A$7:$N$115,8,0)</f>
        <v>0</v>
      </c>
      <c r="F43" s="7"/>
      <c r="G43" s="108">
        <f t="shared" si="0"/>
        <v>0</v>
      </c>
      <c r="H43" s="7"/>
      <c r="I43" s="68">
        <f>VLOOKUP(A43,'سود سپرده بانکی'!$A$7:$N$115,14,0)</f>
        <v>356377808</v>
      </c>
      <c r="J43" s="7"/>
      <c r="K43" s="108">
        <f t="shared" si="1"/>
        <v>1.5219273451250427E-3</v>
      </c>
      <c r="L43" s="145"/>
      <c r="N43" s="185"/>
    </row>
    <row r="44" spans="1:14">
      <c r="A44" s="187" t="s">
        <v>289</v>
      </c>
      <c r="B44" s="7"/>
      <c r="C44" s="193" t="s">
        <v>306</v>
      </c>
      <c r="D44" s="7"/>
      <c r="E44" s="68">
        <f>VLOOKUP(A44,'سود سپرده بانکی'!$A$7:$N$115,8,0)</f>
        <v>0</v>
      </c>
      <c r="F44" s="7"/>
      <c r="G44" s="108">
        <f t="shared" si="0"/>
        <v>0</v>
      </c>
      <c r="H44" s="7"/>
      <c r="I44" s="68">
        <f>VLOOKUP(A44,'سود سپرده بانکی'!$A$7:$N$115,14,0)</f>
        <v>205648459</v>
      </c>
      <c r="J44" s="7"/>
      <c r="K44" s="108">
        <f t="shared" si="1"/>
        <v>8.7823092855132602E-4</v>
      </c>
      <c r="L44" s="145"/>
      <c r="N44" s="185"/>
    </row>
    <row r="45" spans="1:14">
      <c r="A45" s="187" t="s">
        <v>290</v>
      </c>
      <c r="B45" s="7"/>
      <c r="C45" s="193" t="s">
        <v>307</v>
      </c>
      <c r="D45" s="7"/>
      <c r="E45" s="68">
        <f>VLOOKUP(A45,'سود سپرده بانکی'!$A$7:$N$115,8,0)</f>
        <v>0</v>
      </c>
      <c r="F45" s="7"/>
      <c r="G45" s="108">
        <f t="shared" si="0"/>
        <v>0</v>
      </c>
      <c r="H45" s="7"/>
      <c r="I45" s="68">
        <f>VLOOKUP(A45,'سود سپرده بانکی'!$A$7:$N$115,14,0)</f>
        <v>4068493151</v>
      </c>
      <c r="J45" s="7"/>
      <c r="K45" s="108">
        <f t="shared" si="1"/>
        <v>1.7374681702854094E-2</v>
      </c>
      <c r="L45" s="145"/>
      <c r="N45" s="185"/>
    </row>
    <row r="46" spans="1:14">
      <c r="A46" s="187" t="s">
        <v>291</v>
      </c>
      <c r="B46" s="7"/>
      <c r="C46" s="193" t="s">
        <v>308</v>
      </c>
      <c r="D46" s="7"/>
      <c r="E46" s="68">
        <f>VLOOKUP(A46,'سود سپرده بانکی'!$A$7:$N$115,8,0)</f>
        <v>0</v>
      </c>
      <c r="F46" s="7"/>
      <c r="G46" s="108">
        <f t="shared" si="0"/>
        <v>0</v>
      </c>
      <c r="H46" s="7"/>
      <c r="I46" s="68">
        <f>VLOOKUP(A46,'سود سپرده بانکی'!$A$7:$N$115,14,0)</f>
        <v>402041096.00000006</v>
      </c>
      <c r="J46" s="7"/>
      <c r="K46" s="108">
        <f t="shared" si="1"/>
        <v>1.7169344558807167E-3</v>
      </c>
      <c r="L46" s="145"/>
      <c r="N46" s="185"/>
    </row>
    <row r="47" spans="1:14">
      <c r="A47" s="187" t="s">
        <v>292</v>
      </c>
      <c r="B47" s="7"/>
      <c r="C47" s="193" t="s">
        <v>272</v>
      </c>
      <c r="D47" s="7"/>
      <c r="E47" s="68">
        <f>VLOOKUP(A47,'سود سپرده بانکی'!$A$7:$N$115,8,0)</f>
        <v>0</v>
      </c>
      <c r="F47" s="7"/>
      <c r="G47" s="108">
        <f t="shared" si="0"/>
        <v>0</v>
      </c>
      <c r="H47" s="7"/>
      <c r="I47" s="68">
        <f>VLOOKUP(A47,'سود سپرده بانکی'!$A$7:$N$115,14,0)</f>
        <v>927431507</v>
      </c>
      <c r="J47" s="7"/>
      <c r="K47" s="108">
        <f t="shared" si="1"/>
        <v>3.9606376703283036E-3</v>
      </c>
      <c r="L47" s="145"/>
      <c r="N47" s="185"/>
    </row>
    <row r="48" spans="1:14">
      <c r="A48" s="187" t="s">
        <v>293</v>
      </c>
      <c r="B48" s="7"/>
      <c r="C48" s="193" t="s">
        <v>259</v>
      </c>
      <c r="D48" s="7"/>
      <c r="E48" s="68">
        <f>VLOOKUP(A48,'سود سپرده بانکی'!$A$7:$N$115,8,0)</f>
        <v>270649110</v>
      </c>
      <c r="F48" s="7"/>
      <c r="G48" s="108">
        <f t="shared" si="0"/>
        <v>6.8781848645150356E-2</v>
      </c>
      <c r="H48" s="7"/>
      <c r="I48" s="68">
        <f>VLOOKUP(A48,'سود سپرده بانکی'!$A$7:$N$115,14,0)</f>
        <v>1730688891</v>
      </c>
      <c r="J48" s="7"/>
      <c r="K48" s="108">
        <f t="shared" si="1"/>
        <v>7.3909842026892826E-3</v>
      </c>
      <c r="L48" s="145"/>
      <c r="N48" s="185"/>
    </row>
    <row r="49" spans="1:14">
      <c r="A49" s="187" t="s">
        <v>267</v>
      </c>
      <c r="B49" s="7"/>
      <c r="C49" s="193" t="s">
        <v>258</v>
      </c>
      <c r="D49" s="7"/>
      <c r="E49" s="68">
        <f>VLOOKUP(A49,'سود سپرده بانکی'!$A$7:$N$115,8,0)</f>
        <v>0</v>
      </c>
      <c r="F49" s="7"/>
      <c r="G49" s="108">
        <f t="shared" si="0"/>
        <v>0</v>
      </c>
      <c r="H49" s="7"/>
      <c r="I49" s="68">
        <f>VLOOKUP(A49,'سود سپرده بانکی'!$A$7:$N$115,14,0)</f>
        <v>1809329793</v>
      </c>
      <c r="J49" s="7"/>
      <c r="K49" s="108">
        <f t="shared" si="1"/>
        <v>7.7268236868333088E-3</v>
      </c>
      <c r="L49" s="145"/>
      <c r="N49" s="185"/>
    </row>
    <row r="50" spans="1:14">
      <c r="A50" s="187" t="s">
        <v>252</v>
      </c>
      <c r="B50" s="7"/>
      <c r="C50" s="193" t="s">
        <v>257</v>
      </c>
      <c r="D50" s="7"/>
      <c r="E50" s="68">
        <f>VLOOKUP(A50,'سود سپرده بانکی'!$A$7:$N$115,8,0)</f>
        <v>0</v>
      </c>
      <c r="F50" s="7"/>
      <c r="G50" s="108">
        <f t="shared" si="0"/>
        <v>0</v>
      </c>
      <c r="H50" s="7"/>
      <c r="I50" s="68">
        <f>VLOOKUP(A50,'سود سپرده بانکی'!$A$7:$N$115,14,0)</f>
        <v>2831461643.0000005</v>
      </c>
      <c r="J50" s="7"/>
      <c r="K50" s="108">
        <f t="shared" si="1"/>
        <v>1.2091883401321056E-2</v>
      </c>
      <c r="L50" s="145"/>
      <c r="N50" s="185"/>
    </row>
    <row r="51" spans="1:14">
      <c r="A51" s="187" t="s">
        <v>251</v>
      </c>
      <c r="B51" s="7"/>
      <c r="C51" s="193" t="s">
        <v>239</v>
      </c>
      <c r="D51" s="7"/>
      <c r="E51" s="68">
        <f>VLOOKUP(A51,'سود سپرده بانکی'!$A$7:$N$115,8,0)</f>
        <v>1639249207</v>
      </c>
      <c r="F51" s="7"/>
      <c r="G51" s="108">
        <f t="shared" si="0"/>
        <v>0.41659324446903501</v>
      </c>
      <c r="H51" s="7"/>
      <c r="I51" s="68">
        <f>VLOOKUP(A51,'سود سپرده بانکی'!$A$7:$N$115,14,0)</f>
        <v>8731026040</v>
      </c>
      <c r="J51" s="7"/>
      <c r="K51" s="108">
        <f t="shared" si="1"/>
        <v>3.7286236637032164E-2</v>
      </c>
      <c r="L51" s="145"/>
      <c r="N51" s="185"/>
    </row>
    <row r="52" spans="1:14">
      <c r="A52" s="187" t="s">
        <v>250</v>
      </c>
      <c r="B52" s="7"/>
      <c r="C52" s="193" t="s">
        <v>243</v>
      </c>
      <c r="D52" s="7"/>
      <c r="E52" s="68">
        <f>VLOOKUP(A52,'سود سپرده بانکی'!$A$7:$N$115,8,0)</f>
        <v>229315068</v>
      </c>
      <c r="F52" s="7"/>
      <c r="G52" s="108">
        <f t="shared" si="0"/>
        <v>5.8277355130517003E-2</v>
      </c>
      <c r="H52" s="7"/>
      <c r="I52" s="68">
        <f>VLOOKUP(A52,'سود سپرده بانکی'!$A$7:$N$115,14,0)</f>
        <v>1245973219</v>
      </c>
      <c r="J52" s="7"/>
      <c r="K52" s="108">
        <f t="shared" si="1"/>
        <v>5.3209842777010774E-3</v>
      </c>
      <c r="L52" s="145"/>
      <c r="N52" s="185"/>
    </row>
    <row r="53" spans="1:14">
      <c r="A53" s="187" t="s">
        <v>224</v>
      </c>
      <c r="B53" s="7"/>
      <c r="C53" s="193" t="s">
        <v>247</v>
      </c>
      <c r="D53" s="7"/>
      <c r="E53" s="68">
        <f>VLOOKUP(A53,'سود سپرده بانکی'!$A$7:$N$115,8,0)</f>
        <v>0</v>
      </c>
      <c r="F53" s="7"/>
      <c r="G53" s="108">
        <f t="shared" si="0"/>
        <v>0</v>
      </c>
      <c r="H53" s="7"/>
      <c r="I53" s="68">
        <f>VLOOKUP(A53,'سود سپرده بانکی'!$A$7:$N$115,14,0)</f>
        <v>530988904</v>
      </c>
      <c r="J53" s="7"/>
      <c r="K53" s="108">
        <f t="shared" si="1"/>
        <v>2.2676118288363681E-3</v>
      </c>
      <c r="L53" s="145"/>
      <c r="N53" s="185"/>
    </row>
    <row r="54" spans="1:14">
      <c r="A54" s="187" t="s">
        <v>228</v>
      </c>
      <c r="B54" s="7"/>
      <c r="C54" s="193" t="s">
        <v>233</v>
      </c>
      <c r="D54" s="7"/>
      <c r="E54" s="68">
        <f>VLOOKUP(A54,'سود سپرده بانکی'!$A$7:$N$115,8,0)</f>
        <v>39652397</v>
      </c>
      <c r="F54" s="7"/>
      <c r="G54" s="108">
        <f t="shared" si="0"/>
        <v>1.0077125946844658E-2</v>
      </c>
      <c r="H54" s="7"/>
      <c r="I54" s="68">
        <f>VLOOKUP(A54,'سود سپرده بانکی'!$A$7:$N$115,14,0)</f>
        <v>260218385</v>
      </c>
      <c r="J54" s="7"/>
      <c r="K54" s="108">
        <f t="shared" si="1"/>
        <v>1.1112742346621545E-3</v>
      </c>
      <c r="L54" s="145"/>
      <c r="N54" s="185"/>
    </row>
    <row r="55" spans="1:14">
      <c r="A55" s="187" t="s">
        <v>232</v>
      </c>
      <c r="B55" s="7"/>
      <c r="C55" s="193" t="s">
        <v>241</v>
      </c>
      <c r="D55" s="7"/>
      <c r="E55" s="68">
        <f>VLOOKUP(A55,'سود سپرده بانکی'!$A$7:$N$115,8,0)</f>
        <v>0</v>
      </c>
      <c r="F55" s="7"/>
      <c r="G55" s="108">
        <f t="shared" si="0"/>
        <v>0</v>
      </c>
      <c r="H55" s="7"/>
      <c r="I55" s="68">
        <f>VLOOKUP(A55,'سود سپرده بانکی'!$A$7:$N$115,14,0)</f>
        <v>292561643</v>
      </c>
      <c r="J55" s="7"/>
      <c r="K55" s="108">
        <f t="shared" si="1"/>
        <v>1.2493975624217615E-3</v>
      </c>
      <c r="L55" s="145"/>
      <c r="N55" s="185"/>
    </row>
    <row r="56" spans="1:14">
      <c r="A56" s="187" t="s">
        <v>217</v>
      </c>
      <c r="B56" s="7"/>
      <c r="C56" s="193" t="s">
        <v>246</v>
      </c>
      <c r="D56" s="7"/>
      <c r="E56" s="68">
        <f>VLOOKUP(A56,'سود سپرده بانکی'!$A$7:$N$115,8,0)</f>
        <v>0</v>
      </c>
      <c r="F56" s="7"/>
      <c r="G56" s="108">
        <f t="shared" si="0"/>
        <v>0</v>
      </c>
      <c r="H56" s="7"/>
      <c r="I56" s="68">
        <f>VLOOKUP(A56,'سود سپرده بانکی'!$A$7:$N$115,14,0)</f>
        <v>12011301370</v>
      </c>
      <c r="J56" s="7"/>
      <c r="K56" s="108">
        <f t="shared" si="1"/>
        <v>5.1294798932993289E-2</v>
      </c>
      <c r="L56" s="145"/>
      <c r="N56" s="185"/>
    </row>
    <row r="57" spans="1:14">
      <c r="A57" s="187" t="s">
        <v>226</v>
      </c>
      <c r="B57" s="7"/>
      <c r="C57" s="193" t="s">
        <v>234</v>
      </c>
      <c r="D57" s="7"/>
      <c r="E57" s="68">
        <f>VLOOKUP(A57,'سود سپرده بانکی'!$A$7:$N$115,8,0)</f>
        <v>4720068</v>
      </c>
      <c r="F57" s="7"/>
      <c r="G57" s="108">
        <f t="shared" si="0"/>
        <v>1.1995421036884899E-3</v>
      </c>
      <c r="H57" s="7"/>
      <c r="I57" s="68">
        <f>VLOOKUP(A57,'سود سپرده بانکی'!$A$7:$N$115,14,0)</f>
        <v>32233533</v>
      </c>
      <c r="J57" s="7"/>
      <c r="K57" s="108">
        <f t="shared" si="1"/>
        <v>1.3765474224671826E-4</v>
      </c>
      <c r="L57" s="145"/>
      <c r="N57" s="185"/>
    </row>
    <row r="58" spans="1:14">
      <c r="A58" s="187" t="s">
        <v>231</v>
      </c>
      <c r="B58" s="7"/>
      <c r="C58" s="193" t="s">
        <v>235</v>
      </c>
      <c r="D58" s="7"/>
      <c r="E58" s="68">
        <f>VLOOKUP(A58,'سود سپرده بانکی'!$A$7:$N$115,8,0)</f>
        <v>41850000</v>
      </c>
      <c r="F58" s="7"/>
      <c r="G58" s="108">
        <f t="shared" si="0"/>
        <v>1.0635617334191648E-2</v>
      </c>
      <c r="H58" s="7"/>
      <c r="I58" s="68">
        <f>VLOOKUP(A58,'سود سپرده بانکی'!$A$7:$N$115,14,0)</f>
        <v>284090114</v>
      </c>
      <c r="J58" s="7"/>
      <c r="K58" s="108">
        <f t="shared" si="1"/>
        <v>1.2132195194833532E-3</v>
      </c>
      <c r="L58" s="145"/>
    </row>
    <row r="59" spans="1:14">
      <c r="A59" s="187" t="s">
        <v>218</v>
      </c>
      <c r="B59" s="7"/>
      <c r="C59" s="193" t="s">
        <v>236</v>
      </c>
      <c r="D59" s="7"/>
      <c r="E59" s="68">
        <f>VLOOKUP(A59,'سود سپرده بانکی'!$A$7:$N$115,8,0)</f>
        <v>0</v>
      </c>
      <c r="F59" s="7"/>
      <c r="G59" s="108">
        <f t="shared" si="0"/>
        <v>0</v>
      </c>
      <c r="H59" s="7"/>
      <c r="I59" s="68">
        <f>VLOOKUP(A59,'سود سپرده بانکی'!$A$7:$N$115,14,0)</f>
        <v>696729452.00000012</v>
      </c>
      <c r="J59" s="7"/>
      <c r="K59" s="108">
        <f t="shared" si="1"/>
        <v>2.9754142411493423E-3</v>
      </c>
      <c r="L59" s="145"/>
    </row>
    <row r="60" spans="1:14">
      <c r="A60" s="187" t="s">
        <v>219</v>
      </c>
      <c r="B60" s="7"/>
      <c r="C60" s="193" t="s">
        <v>237</v>
      </c>
      <c r="D60" s="7"/>
      <c r="E60" s="68">
        <f>VLOOKUP(A60,'سود سپرده بانکی'!$A$7:$N$115,8,0)</f>
        <v>0</v>
      </c>
      <c r="F60" s="7"/>
      <c r="G60" s="108">
        <f t="shared" si="0"/>
        <v>0</v>
      </c>
      <c r="H60" s="7"/>
      <c r="I60" s="68">
        <f>VLOOKUP(A60,'سود سپرده بانکی'!$A$7:$N$115,14,0)</f>
        <v>22654110</v>
      </c>
      <c r="J60" s="7"/>
      <c r="K60" s="108">
        <f t="shared" si="1"/>
        <v>9.6745388502054755E-5</v>
      </c>
      <c r="L60" s="145"/>
    </row>
    <row r="61" spans="1:14">
      <c r="A61" s="187" t="s">
        <v>221</v>
      </c>
      <c r="B61" s="7"/>
      <c r="C61" s="193" t="s">
        <v>238</v>
      </c>
      <c r="D61" s="7"/>
      <c r="E61" s="68">
        <f>VLOOKUP(A61,'سود سپرده بانکی'!$A$7:$N$115,8,0)</f>
        <v>37836986</v>
      </c>
      <c r="F61" s="7"/>
      <c r="G61" s="108">
        <f t="shared" si="0"/>
        <v>9.6157635406252506E-3</v>
      </c>
      <c r="H61" s="7"/>
      <c r="I61" s="68">
        <f>VLOOKUP(A61,'سود سپرده بانکی'!$A$7:$N$115,14,0)</f>
        <v>258130789</v>
      </c>
      <c r="J61" s="7"/>
      <c r="K61" s="108">
        <f t="shared" si="1"/>
        <v>1.1023590627107806E-3</v>
      </c>
      <c r="L61" s="145"/>
    </row>
    <row r="62" spans="1:14">
      <c r="A62" s="187" t="s">
        <v>222</v>
      </c>
      <c r="B62" s="7"/>
      <c r="C62" s="193" t="s">
        <v>240</v>
      </c>
      <c r="D62" s="7"/>
      <c r="E62" s="68">
        <f>VLOOKUP(A62,'سود سپرده بانکی'!$A$7:$N$115,8,0)</f>
        <v>0</v>
      </c>
      <c r="F62" s="7"/>
      <c r="G62" s="108">
        <f t="shared" si="0"/>
        <v>0</v>
      </c>
      <c r="H62" s="7"/>
      <c r="I62" s="68">
        <f>VLOOKUP(A62,'سود سپرده بانکی'!$A$7:$N$115,14,0)</f>
        <v>308958904</v>
      </c>
      <c r="J62" s="7"/>
      <c r="K62" s="108">
        <f t="shared" si="1"/>
        <v>1.3194227978344346E-3</v>
      </c>
      <c r="L62" s="145"/>
    </row>
    <row r="63" spans="1:14">
      <c r="A63" s="187" t="s">
        <v>223</v>
      </c>
      <c r="B63" s="7"/>
      <c r="C63" s="193" t="s">
        <v>245</v>
      </c>
      <c r="D63" s="7"/>
      <c r="E63" s="68">
        <f>VLOOKUP(A63,'سود سپرده بانکی'!$A$7:$N$115,8,0)</f>
        <v>0</v>
      </c>
      <c r="F63" s="7"/>
      <c r="G63" s="108">
        <f t="shared" si="0"/>
        <v>0</v>
      </c>
      <c r="H63" s="7"/>
      <c r="I63" s="68">
        <f>VLOOKUP(A63,'سود سپرده بانکی'!$A$7:$N$115,14,0)</f>
        <v>2221234517</v>
      </c>
      <c r="J63" s="7"/>
      <c r="K63" s="108">
        <f t="shared" si="1"/>
        <v>9.4858812066039647E-3</v>
      </c>
      <c r="L63" s="145"/>
    </row>
    <row r="64" spans="1:14">
      <c r="A64" s="187" t="s">
        <v>225</v>
      </c>
      <c r="B64" s="7"/>
      <c r="C64" s="193" t="s">
        <v>244</v>
      </c>
      <c r="D64" s="7"/>
      <c r="E64" s="68">
        <f>VLOOKUP(A64,'سود سپرده بانکی'!$A$7:$N$115,8,0)</f>
        <v>51767876</v>
      </c>
      <c r="F64" s="7"/>
      <c r="G64" s="108">
        <f t="shared" si="0"/>
        <v>1.3156112767978108E-2</v>
      </c>
      <c r="H64" s="7"/>
      <c r="I64" s="68">
        <f>VLOOKUP(A64,'سود سپرده بانکی'!$A$7:$N$115,14,0)</f>
        <v>1133639497</v>
      </c>
      <c r="J64" s="7"/>
      <c r="K64" s="108">
        <f t="shared" si="1"/>
        <v>4.8412581010041419E-3</v>
      </c>
      <c r="L64" s="145"/>
    </row>
    <row r="65" spans="1:12">
      <c r="A65" s="187" t="s">
        <v>230</v>
      </c>
      <c r="B65" s="7"/>
      <c r="C65" s="193" t="s">
        <v>200</v>
      </c>
      <c r="D65" s="7"/>
      <c r="E65" s="68">
        <f>VLOOKUP(A65,'سود سپرده بانکی'!$A$7:$N$115,8,0)</f>
        <v>0</v>
      </c>
      <c r="F65" s="7"/>
      <c r="G65" s="108">
        <f t="shared" si="0"/>
        <v>0</v>
      </c>
      <c r="H65" s="7"/>
      <c r="I65" s="68">
        <f>VLOOKUP(A65,'سود سپرده بانکی'!$A$7:$N$115,14,0)</f>
        <v>51047260</v>
      </c>
      <c r="J65" s="7"/>
      <c r="K65" s="108">
        <f t="shared" si="1"/>
        <v>2.1799960363330981E-4</v>
      </c>
      <c r="L65" s="145"/>
    </row>
    <row r="66" spans="1:12">
      <c r="A66" s="187" t="s">
        <v>229</v>
      </c>
      <c r="B66" s="7"/>
      <c r="C66" s="193" t="s">
        <v>197</v>
      </c>
      <c r="D66" s="7"/>
      <c r="E66" s="68">
        <f>VLOOKUP(A66,'سود سپرده بانکی'!$A$7:$N$115,8,0)</f>
        <v>0</v>
      </c>
      <c r="F66" s="7"/>
      <c r="G66" s="108">
        <f t="shared" si="0"/>
        <v>0</v>
      </c>
      <c r="H66" s="7"/>
      <c r="I66" s="68">
        <f>VLOOKUP(A66,'سود سپرده بانکی'!$A$7:$N$115,14,0)</f>
        <v>1980376028</v>
      </c>
      <c r="J66" s="7"/>
      <c r="K66" s="108">
        <f t="shared" si="1"/>
        <v>8.4572842724351602E-3</v>
      </c>
      <c r="L66" s="145"/>
    </row>
    <row r="67" spans="1:12">
      <c r="A67" s="187" t="s">
        <v>178</v>
      </c>
      <c r="B67" s="7"/>
      <c r="C67" s="193" t="s">
        <v>212</v>
      </c>
      <c r="D67" s="7"/>
      <c r="E67" s="68">
        <f>VLOOKUP(A67,'سود سپرده بانکی'!$A$7:$N$115,8,0)</f>
        <v>0</v>
      </c>
      <c r="F67" s="7"/>
      <c r="G67" s="108">
        <f t="shared" si="0"/>
        <v>0</v>
      </c>
      <c r="H67" s="7"/>
      <c r="I67" s="68">
        <f>VLOOKUP(A67,'سود سپرده بانکی'!$A$7:$N$115,14,0)</f>
        <v>520890410</v>
      </c>
      <c r="J67" s="7"/>
      <c r="K67" s="108">
        <f t="shared" si="1"/>
        <v>2.2244857592041618E-3</v>
      </c>
      <c r="L67" s="145"/>
    </row>
    <row r="68" spans="1:12">
      <c r="A68" s="187" t="s">
        <v>175</v>
      </c>
      <c r="B68" s="7"/>
      <c r="C68" s="193" t="s">
        <v>208</v>
      </c>
      <c r="D68" s="7"/>
      <c r="E68" s="68">
        <f>VLOOKUP(A68,'سود سپرده بانکی'!$A$7:$N$115,8,0)</f>
        <v>0</v>
      </c>
      <c r="F68" s="7"/>
      <c r="G68" s="108">
        <f t="shared" si="0"/>
        <v>0</v>
      </c>
      <c r="H68" s="7"/>
      <c r="I68" s="68">
        <f>VLOOKUP(A68,'سود سپرده بانکی'!$A$7:$N$115,14,0)</f>
        <v>241742466</v>
      </c>
      <c r="J68" s="7"/>
      <c r="K68" s="108">
        <f t="shared" si="1"/>
        <v>1.0323719974262844E-3</v>
      </c>
      <c r="L68" s="145"/>
    </row>
    <row r="69" spans="1:12">
      <c r="A69" s="187" t="s">
        <v>190</v>
      </c>
      <c r="B69" s="7"/>
      <c r="C69" s="193" t="s">
        <v>211</v>
      </c>
      <c r="D69" s="7"/>
      <c r="E69" s="68">
        <f>VLOOKUP(A69,'سود سپرده بانکی'!$A$7:$N$115,8,0)</f>
        <v>0</v>
      </c>
      <c r="F69" s="7"/>
      <c r="G69" s="108">
        <f t="shared" si="0"/>
        <v>0</v>
      </c>
      <c r="H69" s="7"/>
      <c r="I69" s="68">
        <f>VLOOKUP(A69,'سود سپرده بانکی'!$A$7:$N$115,14,0)</f>
        <v>687476712.00000012</v>
      </c>
      <c r="J69" s="7"/>
      <c r="K69" s="108">
        <f t="shared" si="1"/>
        <v>2.9359000017460508E-3</v>
      </c>
      <c r="L69" s="145"/>
    </row>
    <row r="70" spans="1:12">
      <c r="A70" s="187" t="s">
        <v>186</v>
      </c>
      <c r="B70" s="7"/>
      <c r="C70" s="193" t="s">
        <v>202</v>
      </c>
      <c r="D70" s="7"/>
      <c r="E70" s="68">
        <f>VLOOKUP(A70,'سود سپرده بانکی'!$A$7:$N$115,8,0)</f>
        <v>0</v>
      </c>
      <c r="F70" s="7"/>
      <c r="G70" s="108">
        <f t="shared" si="0"/>
        <v>0</v>
      </c>
      <c r="H70" s="7"/>
      <c r="I70" s="68">
        <f>VLOOKUP(A70,'سود سپرده بانکی'!$A$7:$N$115,14,0)</f>
        <v>50312468</v>
      </c>
      <c r="J70" s="7"/>
      <c r="K70" s="108">
        <f t="shared" si="1"/>
        <v>2.148616415810287E-4</v>
      </c>
      <c r="L70" s="145"/>
    </row>
    <row r="71" spans="1:12">
      <c r="A71" s="187" t="s">
        <v>189</v>
      </c>
      <c r="B71" s="7"/>
      <c r="C71" s="193" t="s">
        <v>204</v>
      </c>
      <c r="D71" s="7"/>
      <c r="E71" s="68">
        <f>VLOOKUP(A71,'سود سپرده بانکی'!$A$7:$N$115,8,0)</f>
        <v>0</v>
      </c>
      <c r="F71" s="7"/>
      <c r="G71" s="108">
        <f t="shared" si="0"/>
        <v>0</v>
      </c>
      <c r="H71" s="7"/>
      <c r="I71" s="68">
        <f>VLOOKUP(A71,'سود سپرده بانکی'!$A$7:$N$115,14,0)</f>
        <v>257307534</v>
      </c>
      <c r="J71" s="7"/>
      <c r="K71" s="108">
        <f t="shared" si="1"/>
        <v>1.0988433154661855E-3</v>
      </c>
      <c r="L71" s="145"/>
    </row>
    <row r="72" spans="1:12">
      <c r="A72" s="187" t="s">
        <v>180</v>
      </c>
      <c r="B72" s="7"/>
      <c r="C72" s="193" t="s">
        <v>196</v>
      </c>
      <c r="D72" s="7"/>
      <c r="E72" s="68">
        <f>VLOOKUP(A72,'سود سپرده بانکی'!$A$7:$N$115,8,0)</f>
        <v>0</v>
      </c>
      <c r="F72" s="7"/>
      <c r="G72" s="108">
        <f t="shared" si="0"/>
        <v>0</v>
      </c>
      <c r="H72" s="7"/>
      <c r="I72" s="68">
        <f>VLOOKUP(A72,'سود سپرده بانکی'!$A$7:$N$115,14,0)</f>
        <v>440228528</v>
      </c>
      <c r="J72" s="7"/>
      <c r="K72" s="108">
        <f t="shared" si="1"/>
        <v>1.8800155897118753E-3</v>
      </c>
      <c r="L72" s="145"/>
    </row>
    <row r="73" spans="1:12">
      <c r="A73" s="187" t="s">
        <v>182</v>
      </c>
      <c r="B73" s="7"/>
      <c r="C73" s="193" t="s">
        <v>210</v>
      </c>
      <c r="D73" s="7"/>
      <c r="E73" s="68">
        <f>VLOOKUP(A73,'سود سپرده بانکی'!$A$7:$N$115,8,0)</f>
        <v>0</v>
      </c>
      <c r="F73" s="7"/>
      <c r="G73" s="108">
        <f t="shared" ref="G73:G116" si="2">E73/$E$117</f>
        <v>0</v>
      </c>
      <c r="H73" s="7"/>
      <c r="I73" s="68">
        <f>VLOOKUP(A73,'سود سپرده بانکی'!$A$7:$N$115,14,0)</f>
        <v>102914383</v>
      </c>
      <c r="J73" s="7"/>
      <c r="K73" s="108">
        <f t="shared" ref="K73:K116" si="3">I73/$I$117</f>
        <v>4.3950046882372605E-4</v>
      </c>
      <c r="L73" s="145"/>
    </row>
    <row r="74" spans="1:12">
      <c r="A74" s="187" t="s">
        <v>174</v>
      </c>
      <c r="B74" s="7"/>
      <c r="C74" s="193" t="s">
        <v>206</v>
      </c>
      <c r="D74" s="7"/>
      <c r="E74" s="68">
        <f>VLOOKUP(A74,'سود سپرده بانکی'!$A$7:$N$115,8,0)</f>
        <v>0</v>
      </c>
      <c r="F74" s="7"/>
      <c r="G74" s="108">
        <f t="shared" si="2"/>
        <v>0</v>
      </c>
      <c r="H74" s="7"/>
      <c r="I74" s="68">
        <f>VLOOKUP(A74,'سود سپرده بانکی'!$A$7:$N$115,14,0)</f>
        <v>1510273972</v>
      </c>
      <c r="J74" s="7"/>
      <c r="K74" s="108">
        <f t="shared" si="3"/>
        <v>6.4496924472284001E-3</v>
      </c>
      <c r="L74" s="145"/>
    </row>
    <row r="75" spans="1:12">
      <c r="A75" s="187" t="s">
        <v>188</v>
      </c>
      <c r="B75" s="7"/>
      <c r="C75" s="193" t="s">
        <v>192</v>
      </c>
      <c r="D75" s="7"/>
      <c r="E75" s="68">
        <f>VLOOKUP(A75,'سود سپرده بانکی'!$A$7:$N$115,8,0)</f>
        <v>0</v>
      </c>
      <c r="F75" s="7"/>
      <c r="G75" s="108">
        <f t="shared" si="2"/>
        <v>0</v>
      </c>
      <c r="H75" s="7"/>
      <c r="I75" s="68">
        <f>VLOOKUP(A75,'سود سپرده بانکی'!$A$7:$N$115,14,0)</f>
        <v>1557036986</v>
      </c>
      <c r="J75" s="7"/>
      <c r="K75" s="108">
        <f t="shared" si="3"/>
        <v>6.6493959869815414E-3</v>
      </c>
      <c r="L75" s="145"/>
    </row>
    <row r="76" spans="1:12">
      <c r="A76" s="187" t="s">
        <v>184</v>
      </c>
      <c r="B76" s="7"/>
      <c r="C76" s="193" t="s">
        <v>205</v>
      </c>
      <c r="D76" s="7"/>
      <c r="E76" s="68">
        <f>VLOOKUP(A76,'سود سپرده بانکی'!$A$7:$N$115,8,0)</f>
        <v>0</v>
      </c>
      <c r="F76" s="7"/>
      <c r="G76" s="108">
        <f t="shared" si="2"/>
        <v>0</v>
      </c>
      <c r="H76" s="7"/>
      <c r="I76" s="68">
        <f>VLOOKUP(A76,'سود سپرده بانکی'!$A$7:$N$115,14,0)</f>
        <v>5856165</v>
      </c>
      <c r="J76" s="7"/>
      <c r="K76" s="108">
        <f t="shared" si="3"/>
        <v>2.5009014172577758E-5</v>
      </c>
      <c r="L76" s="145"/>
    </row>
    <row r="77" spans="1:12">
      <c r="A77" s="187" t="s">
        <v>170</v>
      </c>
      <c r="B77" s="7"/>
      <c r="C77" s="193" t="s">
        <v>203</v>
      </c>
      <c r="D77" s="7"/>
      <c r="E77" s="68">
        <f>VLOOKUP(A77,'سود سپرده بانکی'!$A$7:$N$115,8,0)</f>
        <v>0</v>
      </c>
      <c r="F77" s="7"/>
      <c r="G77" s="108">
        <f t="shared" si="2"/>
        <v>0</v>
      </c>
      <c r="H77" s="7"/>
      <c r="I77" s="68">
        <f>VLOOKUP(A77,'سود سپرده بانکی'!$A$7:$N$115,14,0)</f>
        <v>81986301</v>
      </c>
      <c r="J77" s="7"/>
      <c r="K77" s="108">
        <f t="shared" si="3"/>
        <v>3.5012615998118669E-4</v>
      </c>
      <c r="L77" s="145"/>
    </row>
    <row r="78" spans="1:12">
      <c r="A78" s="187" t="s">
        <v>183</v>
      </c>
      <c r="B78" s="7"/>
      <c r="C78" s="193" t="s">
        <v>191</v>
      </c>
      <c r="D78" s="7"/>
      <c r="E78" s="68">
        <f>VLOOKUP(A78,'سود سپرده بانکی'!$A$7:$N$115,8,0)</f>
        <v>0</v>
      </c>
      <c r="F78" s="7"/>
      <c r="G78" s="108">
        <f t="shared" si="2"/>
        <v>0</v>
      </c>
      <c r="H78" s="7"/>
      <c r="I78" s="68">
        <f>VLOOKUP(A78,'سود سپرده بانکی'!$A$7:$N$115,14,0)</f>
        <v>25767124</v>
      </c>
      <c r="J78" s="7"/>
      <c r="K78" s="108">
        <f t="shared" si="3"/>
        <v>1.1003965381825282E-4</v>
      </c>
      <c r="L78" s="145"/>
    </row>
    <row r="79" spans="1:12">
      <c r="A79" s="187" t="s">
        <v>181</v>
      </c>
      <c r="B79" s="7"/>
      <c r="C79" s="193" t="s">
        <v>209</v>
      </c>
      <c r="D79" s="7"/>
      <c r="E79" s="68">
        <f>VLOOKUP(A79,'سود سپرده بانکی'!$A$7:$N$115,8,0)</f>
        <v>0</v>
      </c>
      <c r="F79" s="7"/>
      <c r="G79" s="108">
        <f t="shared" si="2"/>
        <v>0</v>
      </c>
      <c r="H79" s="7"/>
      <c r="I79" s="68">
        <f>VLOOKUP(A79,'سود سپرده بانکی'!$A$7:$N$115,14,0)</f>
        <v>309673973</v>
      </c>
      <c r="J79" s="7"/>
      <c r="K79" s="108">
        <f t="shared" si="3"/>
        <v>1.3224765319343739E-3</v>
      </c>
      <c r="L79" s="145"/>
    </row>
    <row r="80" spans="1:12">
      <c r="A80" s="187" t="s">
        <v>169</v>
      </c>
      <c r="B80" s="7"/>
      <c r="C80" s="193" t="s">
        <v>194</v>
      </c>
      <c r="D80" s="7"/>
      <c r="E80" s="68">
        <f>VLOOKUP(A80,'سود سپرده بانکی'!$A$7:$N$115,8,0)</f>
        <v>0</v>
      </c>
      <c r="F80" s="7"/>
      <c r="G80" s="108">
        <f t="shared" si="2"/>
        <v>0</v>
      </c>
      <c r="H80" s="7"/>
      <c r="I80" s="68">
        <f>VLOOKUP(A80,'سود سپرده بانکی'!$A$7:$N$115,14,0)</f>
        <v>64417808</v>
      </c>
      <c r="J80" s="7"/>
      <c r="K80" s="108">
        <f t="shared" si="3"/>
        <v>2.7509912600454274E-4</v>
      </c>
      <c r="L80" s="145"/>
    </row>
    <row r="81" spans="1:12">
      <c r="A81" s="187" t="s">
        <v>187</v>
      </c>
      <c r="B81" s="7"/>
      <c r="C81" s="193" t="s">
        <v>159</v>
      </c>
      <c r="D81" s="7"/>
      <c r="E81" s="68">
        <f>VLOOKUP(A81,'سود سپرده بانکی'!$A$7:$N$115,8,0)</f>
        <v>0</v>
      </c>
      <c r="F81" s="7"/>
      <c r="G81" s="108">
        <f t="shared" si="2"/>
        <v>0</v>
      </c>
      <c r="H81" s="7"/>
      <c r="I81" s="68">
        <f>VLOOKUP(A81,'سود سپرده بانکی'!$A$7:$N$115,14,0)</f>
        <v>10861662328</v>
      </c>
      <c r="J81" s="7"/>
      <c r="K81" s="108">
        <f t="shared" si="3"/>
        <v>4.6385214060516725E-2</v>
      </c>
      <c r="L81" s="145"/>
    </row>
    <row r="82" spans="1:12">
      <c r="A82" s="187" t="s">
        <v>172</v>
      </c>
      <c r="B82" s="7"/>
      <c r="C82" s="193" t="s">
        <v>164</v>
      </c>
      <c r="D82" s="7"/>
      <c r="E82" s="68">
        <f>VLOOKUP(A82,'سود سپرده بانکی'!$A$7:$N$115,8,0)</f>
        <v>0</v>
      </c>
      <c r="F82" s="7"/>
      <c r="G82" s="108">
        <f t="shared" si="2"/>
        <v>0</v>
      </c>
      <c r="H82" s="7"/>
      <c r="I82" s="68">
        <f>VLOOKUP(A82,'سود سپرده بانکی'!$A$7:$N$115,14,0)</f>
        <v>38065069</v>
      </c>
      <c r="J82" s="7"/>
      <c r="K82" s="108">
        <f t="shared" si="3"/>
        <v>1.625585771748491E-4</v>
      </c>
      <c r="L82" s="145"/>
    </row>
    <row r="83" spans="1:12">
      <c r="A83" s="187" t="s">
        <v>149</v>
      </c>
      <c r="B83" s="7"/>
      <c r="C83" s="193" t="s">
        <v>256</v>
      </c>
      <c r="D83" s="7"/>
      <c r="E83" s="68">
        <f>VLOOKUP(A83,'سود سپرده بانکی'!$A$7:$N$115,8,0)</f>
        <v>0</v>
      </c>
      <c r="F83" s="7"/>
      <c r="G83" s="108">
        <f t="shared" si="2"/>
        <v>0</v>
      </c>
      <c r="H83" s="7"/>
      <c r="I83" s="68">
        <f>VLOOKUP(A83,'سود سپرده بانکی'!$A$7:$N$115,14,0)</f>
        <v>303333906.00000006</v>
      </c>
      <c r="J83" s="7"/>
      <c r="K83" s="108">
        <f t="shared" si="3"/>
        <v>1.2954009926594231E-3</v>
      </c>
      <c r="L83" s="145"/>
    </row>
    <row r="84" spans="1:12">
      <c r="A84" s="187" t="s">
        <v>154</v>
      </c>
      <c r="B84" s="7"/>
      <c r="C84" s="193" t="s">
        <v>271</v>
      </c>
      <c r="D84" s="7"/>
      <c r="E84" s="68">
        <f>VLOOKUP(A84,'سود سپرده بانکی'!$A$7:$N$115,8,0)</f>
        <v>0</v>
      </c>
      <c r="F84" s="7"/>
      <c r="G84" s="108">
        <f t="shared" si="2"/>
        <v>0</v>
      </c>
      <c r="H84" s="7"/>
      <c r="I84" s="68">
        <f>VLOOKUP(A84,'سود سپرده بانکی'!$A$7:$N$115,14,0)</f>
        <v>5942619864</v>
      </c>
      <c r="J84" s="7"/>
      <c r="K84" s="108">
        <f t="shared" si="3"/>
        <v>2.5378223530419328E-2</v>
      </c>
      <c r="L84" s="145"/>
    </row>
    <row r="85" spans="1:12">
      <c r="A85" s="187" t="s">
        <v>249</v>
      </c>
      <c r="B85" s="7"/>
      <c r="C85" s="193" t="s">
        <v>341</v>
      </c>
      <c r="D85" s="7"/>
      <c r="E85" s="68">
        <f>VLOOKUP(A85,'سود سپرده بانکی'!$A$7:$N$115,8,0)</f>
        <v>0</v>
      </c>
      <c r="F85" s="7"/>
      <c r="G85" s="108">
        <f t="shared" si="2"/>
        <v>0</v>
      </c>
      <c r="H85" s="7"/>
      <c r="I85" s="68">
        <f>VLOOKUP(A85,'سود سپرده بانکی'!$A$7:$N$115,14,0)</f>
        <v>364746575</v>
      </c>
      <c r="J85" s="7"/>
      <c r="K85" s="108">
        <f t="shared" si="3"/>
        <v>1.5576665383530341E-3</v>
      </c>
      <c r="L85" s="145"/>
    </row>
    <row r="86" spans="1:12">
      <c r="A86" s="187" t="s">
        <v>294</v>
      </c>
      <c r="B86" s="7"/>
      <c r="C86" s="193" t="s">
        <v>255</v>
      </c>
      <c r="D86" s="7"/>
      <c r="E86" s="68">
        <f>VLOOKUP(A86,'سود سپرده بانکی'!$A$7:$N$115,8,0)</f>
        <v>8130</v>
      </c>
      <c r="F86" s="7"/>
      <c r="G86" s="108">
        <f t="shared" si="2"/>
        <v>2.066130679258736E-6</v>
      </c>
      <c r="H86" s="7"/>
      <c r="I86" s="68">
        <f>VLOOKUP(A86,'سود سپرده بانکی'!$A$7:$N$115,14,0)</f>
        <v>3980444767</v>
      </c>
      <c r="J86" s="7"/>
      <c r="K86" s="108">
        <f t="shared" si="3"/>
        <v>1.6998667146684899E-2</v>
      </c>
      <c r="L86" s="145"/>
    </row>
    <row r="87" spans="1:12">
      <c r="A87" s="187" t="s">
        <v>266</v>
      </c>
      <c r="B87" s="7"/>
      <c r="C87" s="193" t="s">
        <v>242</v>
      </c>
      <c r="D87" s="7"/>
      <c r="E87" s="68">
        <f>VLOOKUP(A87,'سود سپرده بانکی'!$A$7:$N$115,8,0)</f>
        <v>0</v>
      </c>
      <c r="F87" s="7"/>
      <c r="G87" s="108">
        <f t="shared" si="2"/>
        <v>0</v>
      </c>
      <c r="H87" s="7"/>
      <c r="I87" s="68">
        <f>VLOOKUP(A87,'سود سپرده بانکی'!$A$7:$N$115,14,0)</f>
        <v>13778406369.310345</v>
      </c>
      <c r="J87" s="7"/>
      <c r="K87" s="108">
        <f t="shared" si="3"/>
        <v>5.8841299752588609E-2</v>
      </c>
      <c r="L87" s="145"/>
    </row>
    <row r="88" spans="1:12">
      <c r="A88" s="187" t="s">
        <v>220</v>
      </c>
      <c r="B88" s="7"/>
      <c r="C88" s="193" t="s">
        <v>342</v>
      </c>
      <c r="D88" s="7"/>
      <c r="E88" s="68">
        <f>VLOOKUP(A88,'سود سپرده بانکی'!$A$7:$N$115,8,0)</f>
        <v>3370</v>
      </c>
      <c r="F88" s="7"/>
      <c r="G88" s="108">
        <f t="shared" si="2"/>
        <v>8.5644039226346129E-7</v>
      </c>
      <c r="H88" s="7"/>
      <c r="I88" s="68">
        <f>VLOOKUP(A88,'سود سپرده بانکی'!$A$7:$N$115,14,0)</f>
        <v>3226134011</v>
      </c>
      <c r="J88" s="7"/>
      <c r="K88" s="108">
        <f t="shared" si="3"/>
        <v>1.377734937518566E-2</v>
      </c>
      <c r="L88" s="145"/>
    </row>
    <row r="89" spans="1:12">
      <c r="A89" s="187" t="s">
        <v>248</v>
      </c>
      <c r="B89" s="7"/>
      <c r="C89" s="193" t="s">
        <v>261</v>
      </c>
      <c r="D89" s="7"/>
      <c r="E89" s="68">
        <f>VLOOKUP(A89,'سود سپرده بانکی'!$A$7:$N$115,8,0)</f>
        <v>0</v>
      </c>
      <c r="F89" s="7"/>
      <c r="G89" s="108">
        <f t="shared" si="2"/>
        <v>0</v>
      </c>
      <c r="H89" s="7"/>
      <c r="I89" s="68">
        <f>VLOOKUP(A89,'سود سپرده بانکی'!$A$7:$N$115,14,0)</f>
        <v>6780821916.272727</v>
      </c>
      <c r="J89" s="7"/>
      <c r="K89" s="108">
        <f t="shared" si="3"/>
        <v>2.8957802829290245E-2</v>
      </c>
      <c r="L89" s="145"/>
    </row>
    <row r="90" spans="1:12">
      <c r="A90" s="187" t="s">
        <v>227</v>
      </c>
      <c r="B90" s="7"/>
      <c r="C90" s="193" t="s">
        <v>270</v>
      </c>
      <c r="D90" s="7"/>
      <c r="E90" s="68">
        <f>VLOOKUP(A90,'سود سپرده بانکی'!$A$7:$N$115,8,0)</f>
        <v>0</v>
      </c>
      <c r="F90" s="7"/>
      <c r="G90" s="108">
        <f t="shared" si="2"/>
        <v>0</v>
      </c>
      <c r="H90" s="7"/>
      <c r="I90" s="68">
        <f>VLOOKUP(A90,'سود سپرده بانکی'!$A$7:$N$115,14,0)</f>
        <v>5424657534</v>
      </c>
      <c r="J90" s="7"/>
      <c r="K90" s="108">
        <f t="shared" si="3"/>
        <v>2.3166242267625096E-2</v>
      </c>
      <c r="L90" s="145"/>
    </row>
    <row r="91" spans="1:12">
      <c r="A91" s="187" t="s">
        <v>265</v>
      </c>
      <c r="B91" s="7"/>
      <c r="C91" s="193" t="s">
        <v>199</v>
      </c>
      <c r="D91" s="7"/>
      <c r="E91" s="68">
        <f>VLOOKUP(A91,'سود سپرده بانکی'!$A$7:$N$115,8,0)</f>
        <v>0</v>
      </c>
      <c r="F91" s="7"/>
      <c r="G91" s="108">
        <f t="shared" si="2"/>
        <v>0</v>
      </c>
      <c r="H91" s="7"/>
      <c r="I91" s="68">
        <f>VLOOKUP(A91,'سود سپرده بانکی'!$A$7:$N$115,14,0)</f>
        <v>13594166506.551725</v>
      </c>
      <c r="J91" s="7"/>
      <c r="K91" s="108">
        <f t="shared" si="3"/>
        <v>5.8054495190407708E-2</v>
      </c>
      <c r="L91" s="145"/>
    </row>
    <row r="92" spans="1:12">
      <c r="A92" s="187" t="s">
        <v>177</v>
      </c>
      <c r="B92" s="7"/>
      <c r="C92" s="193" t="s">
        <v>137</v>
      </c>
      <c r="D92" s="7"/>
      <c r="E92" s="68">
        <f>VLOOKUP(A92,'سود سپرده بانکی'!$A$7:$N$115,8,0)</f>
        <v>5034215.833333334</v>
      </c>
      <c r="F92" s="7"/>
      <c r="G92" s="108">
        <f t="shared" si="2"/>
        <v>1.2793785706346969E-3</v>
      </c>
      <c r="H92" s="7"/>
      <c r="I92" s="68">
        <f>VLOOKUP(A92,'سود سپرده بانکی'!$A$7:$N$115,14,0)</f>
        <v>1833890928.3333333</v>
      </c>
      <c r="J92" s="7"/>
      <c r="K92" s="108">
        <f t="shared" si="3"/>
        <v>7.8317131121903357E-3</v>
      </c>
      <c r="L92" s="145"/>
    </row>
    <row r="93" spans="1:12">
      <c r="A93" s="187" t="s">
        <v>132</v>
      </c>
      <c r="B93" s="7"/>
      <c r="C93" s="193" t="s">
        <v>207</v>
      </c>
      <c r="D93" s="7"/>
      <c r="E93" s="68">
        <f>VLOOKUP(A93,'سود سپرده بانکی'!$A$7:$N$115,8,0)</f>
        <v>2141282.5471698111</v>
      </c>
      <c r="F93" s="7"/>
      <c r="G93" s="108">
        <f t="shared" si="2"/>
        <v>5.4417829811424822E-4</v>
      </c>
      <c r="H93" s="7"/>
      <c r="I93" s="68">
        <f>VLOOKUP(A93,'سود سپرده بانکی'!$A$7:$N$115,14,0)</f>
        <v>103191556.41509433</v>
      </c>
      <c r="J93" s="7"/>
      <c r="K93" s="108">
        <f t="shared" si="3"/>
        <v>4.4068415027162853E-4</v>
      </c>
      <c r="L93" s="145"/>
    </row>
    <row r="94" spans="1:12">
      <c r="A94" s="187" t="s">
        <v>185</v>
      </c>
      <c r="B94" s="7"/>
      <c r="C94" s="193" t="s">
        <v>127</v>
      </c>
      <c r="D94" s="7"/>
      <c r="E94" s="68">
        <f>VLOOKUP(A94,'سود سپرده بانکی'!$A$7:$N$115,8,0)</f>
        <v>19927188.333333336</v>
      </c>
      <c r="F94" s="7"/>
      <c r="G94" s="108">
        <f t="shared" si="2"/>
        <v>5.0642281878064905E-3</v>
      </c>
      <c r="H94" s="7"/>
      <c r="I94" s="68">
        <f>VLOOKUP(A94,'سود سپرده بانکی'!$A$7:$N$115,14,0)</f>
        <v>7259181982.5</v>
      </c>
      <c r="J94" s="7"/>
      <c r="K94" s="108">
        <f t="shared" si="3"/>
        <v>3.1000660855980595E-2</v>
      </c>
      <c r="L94" s="145"/>
    </row>
    <row r="95" spans="1:12">
      <c r="A95" s="187" t="s">
        <v>124</v>
      </c>
      <c r="B95" s="7"/>
      <c r="C95" s="193" t="s">
        <v>99</v>
      </c>
      <c r="D95" s="7"/>
      <c r="E95" s="68">
        <f>VLOOKUP(A95,'سود سپرده بانکی'!$A$7:$N$115,8,0)</f>
        <v>1229447.5471698113</v>
      </c>
      <c r="F95" s="7"/>
      <c r="G95" s="108">
        <f t="shared" si="2"/>
        <v>3.1244763785325327E-4</v>
      </c>
      <c r="H95" s="7"/>
      <c r="I95" s="68">
        <f>VLOOKUP(A95,'سود سپرده بانکی'!$A$7:$N$115,14,0)</f>
        <v>58909586.603773586</v>
      </c>
      <c r="J95" s="7"/>
      <c r="K95" s="108">
        <f t="shared" si="3"/>
        <v>2.5157602053126413E-4</v>
      </c>
      <c r="L95" s="145"/>
    </row>
    <row r="96" spans="1:12">
      <c r="A96" s="187" t="s">
        <v>356</v>
      </c>
      <c r="B96" s="7"/>
      <c r="C96" s="193" t="s">
        <v>117</v>
      </c>
      <c r="D96" s="7"/>
      <c r="E96" s="68">
        <f>VLOOKUP(A96,'سود سپرده بانکی'!$A$7:$N$115,8,0)</f>
        <v>6740641.6981132077</v>
      </c>
      <c r="F96" s="7"/>
      <c r="G96" s="108">
        <f t="shared" si="2"/>
        <v>1.7130438635132106E-3</v>
      </c>
      <c r="H96" s="7"/>
      <c r="I96" s="68">
        <f>VLOOKUP(A96,'سود سپرده بانکی'!$A$7:$N$115,14,0)</f>
        <v>6740641.6981132077</v>
      </c>
      <c r="J96" s="7"/>
      <c r="K96" s="108">
        <f t="shared" si="3"/>
        <v>2.8786211413165754E-5</v>
      </c>
      <c r="L96" s="145"/>
    </row>
    <row r="97" spans="1:12">
      <c r="A97" s="187" t="s">
        <v>357</v>
      </c>
      <c r="B97" s="7"/>
      <c r="C97" s="192" t="s">
        <v>195</v>
      </c>
      <c r="D97" s="7"/>
      <c r="E97" s="68">
        <f>VLOOKUP(A97,'سود سپرده بانکی'!$A$7:$N$115,8,0)</f>
        <v>5715609.6226415094</v>
      </c>
      <c r="F97" s="7"/>
      <c r="G97" s="108">
        <f t="shared" si="2"/>
        <v>1.4525456816735633E-3</v>
      </c>
      <c r="H97" s="7"/>
      <c r="I97" s="68">
        <f>VLOOKUP(A97,'سود سپرده بانکی'!$A$7:$N$115,14,0)</f>
        <v>5715609.6226415094</v>
      </c>
      <c r="J97" s="7"/>
      <c r="K97" s="108">
        <f t="shared" si="3"/>
        <v>2.4408766156275193E-5</v>
      </c>
      <c r="L97" s="145"/>
    </row>
    <row r="98" spans="1:12">
      <c r="A98" s="187" t="s">
        <v>104</v>
      </c>
      <c r="B98" s="7"/>
      <c r="C98" s="192"/>
      <c r="D98" s="7"/>
      <c r="E98" s="68">
        <f>VLOOKUP(A98,'سود سپرده بانکی'!$A$7:$N$115,8,0)</f>
        <v>26007720</v>
      </c>
      <c r="F98" s="7"/>
      <c r="G98" s="108">
        <f t="shared" si="2"/>
        <v>6.6095139224564593E-3</v>
      </c>
      <c r="H98" s="7"/>
      <c r="I98" s="68">
        <f>VLOOKUP(A98,'سود سپرده بانکی'!$A$7:$N$115,14,0)</f>
        <v>7524632613</v>
      </c>
      <c r="J98" s="7"/>
      <c r="K98" s="108">
        <f t="shared" si="3"/>
        <v>3.2134279628725934E-2</v>
      </c>
      <c r="L98" s="145"/>
    </row>
    <row r="99" spans="1:12">
      <c r="A99" s="187" t="s">
        <v>116</v>
      </c>
      <c r="B99" s="7"/>
      <c r="C99" s="192" t="s">
        <v>269</v>
      </c>
      <c r="D99" s="7"/>
      <c r="E99" s="68">
        <f>VLOOKUP(A99,'سود سپرده بانکی'!$A$7:$N$115,8,0)</f>
        <v>8326768.5849056607</v>
      </c>
      <c r="F99" s="7"/>
      <c r="G99" s="108">
        <f t="shared" si="2"/>
        <v>2.1161367813482702E-3</v>
      </c>
      <c r="H99" s="7"/>
      <c r="I99" s="68">
        <f>VLOOKUP(A99,'سود سپرده بانکی'!$A$7:$N$115,14,0)</f>
        <v>19955265.283018865</v>
      </c>
      <c r="J99" s="7"/>
      <c r="K99" s="108">
        <f t="shared" si="3"/>
        <v>8.5219851606054079E-5</v>
      </c>
      <c r="L99" s="145"/>
    </row>
    <row r="100" spans="1:12">
      <c r="A100" s="187" t="s">
        <v>173</v>
      </c>
      <c r="B100" s="7"/>
      <c r="C100" s="192" t="s">
        <v>157</v>
      </c>
      <c r="D100" s="7"/>
      <c r="E100" s="68">
        <f>VLOOKUP(A100,'سود سپرده بانکی'!$A$7:$N$115,8,0)</f>
        <v>4472540</v>
      </c>
      <c r="F100" s="7"/>
      <c r="G100" s="108">
        <f t="shared" si="2"/>
        <v>1.1366361756718164E-3</v>
      </c>
      <c r="H100" s="7"/>
      <c r="I100" s="68">
        <f>VLOOKUP(A100,'سود سپرده بانکی'!$A$7:$N$115,14,0)</f>
        <v>1629280759.1666667</v>
      </c>
      <c r="J100" s="7"/>
      <c r="K100" s="108">
        <f t="shared" si="3"/>
        <v>6.9579162467429487E-3</v>
      </c>
      <c r="L100" s="145"/>
    </row>
    <row r="101" spans="1:12">
      <c r="A101" s="187" t="s">
        <v>264</v>
      </c>
      <c r="B101" s="7"/>
      <c r="C101" s="193" t="s">
        <v>199</v>
      </c>
      <c r="D101" s="7"/>
      <c r="E101" s="68">
        <f>VLOOKUP(A101,'سود سپرده بانکی'!$A$7:$N$115,8,0)</f>
        <v>0</v>
      </c>
      <c r="F101" s="7"/>
      <c r="G101" s="108">
        <f t="shared" si="2"/>
        <v>0</v>
      </c>
      <c r="H101" s="7"/>
      <c r="I101" s="68">
        <f>VLOOKUP(A101,'سود سپرده بانکی'!$A$7:$N$115,14,0)</f>
        <v>3982191781.034483</v>
      </c>
      <c r="J101" s="7"/>
      <c r="K101" s="108">
        <f t="shared" si="3"/>
        <v>1.7006127848141924E-2</v>
      </c>
      <c r="L101" s="145"/>
    </row>
    <row r="102" spans="1:12">
      <c r="A102" s="187" t="s">
        <v>147</v>
      </c>
      <c r="B102" s="7"/>
      <c r="C102" s="193" t="s">
        <v>137</v>
      </c>
      <c r="D102" s="7"/>
      <c r="E102" s="68">
        <f>VLOOKUP(A102,'سود سپرده بانکی'!$A$7:$N$115,8,0)</f>
        <v>13521915</v>
      </c>
      <c r="F102" s="7"/>
      <c r="G102" s="108">
        <f t="shared" si="2"/>
        <v>3.4364137052680065E-3</v>
      </c>
      <c r="H102" s="7"/>
      <c r="I102" s="68">
        <f>VLOOKUP(A102,'سود سپرده بانکی'!$A$7:$N$115,14,0)</f>
        <v>1431564389.1509433</v>
      </c>
      <c r="J102" s="7"/>
      <c r="K102" s="108">
        <f t="shared" si="3"/>
        <v>6.1135596584511471E-3</v>
      </c>
      <c r="L102" s="145"/>
    </row>
    <row r="103" spans="1:12">
      <c r="A103" s="187" t="s">
        <v>358</v>
      </c>
      <c r="B103" s="7"/>
      <c r="C103" s="193" t="s">
        <v>207</v>
      </c>
      <c r="D103" s="7"/>
      <c r="E103" s="68">
        <f>VLOOKUP(A103,'سود سپرده بانکی'!$A$7:$N$115,8,0)</f>
        <v>1049243.3653846155</v>
      </c>
      <c r="F103" s="7"/>
      <c r="G103" s="108">
        <f t="shared" si="2"/>
        <v>2.6665115710084104E-4</v>
      </c>
      <c r="H103" s="7"/>
      <c r="I103" s="68">
        <f>VLOOKUP(A103,'سود سپرده بانکی'!$A$7:$N$115,14,0)</f>
        <v>1049243.3653846155</v>
      </c>
      <c r="J103" s="7"/>
      <c r="K103" s="108">
        <f t="shared" si="3"/>
        <v>4.4808406517553778E-6</v>
      </c>
      <c r="L103" s="145"/>
    </row>
    <row r="104" spans="1:12">
      <c r="A104" s="187" t="s">
        <v>359</v>
      </c>
      <c r="B104" s="7"/>
      <c r="C104" s="193" t="s">
        <v>127</v>
      </c>
      <c r="D104" s="7"/>
      <c r="E104" s="68">
        <f>VLOOKUP(A104,'سود سپرده بانکی'!$A$7:$N$115,8,0)</f>
        <v>6827283.173076923</v>
      </c>
      <c r="F104" s="7"/>
      <c r="G104" s="108">
        <f t="shared" si="2"/>
        <v>1.7350626346717296E-3</v>
      </c>
      <c r="H104" s="7"/>
      <c r="I104" s="68">
        <f>VLOOKUP(A104,'سود سپرده بانکی'!$A$7:$N$115,14,0)</f>
        <v>6827283.173076923</v>
      </c>
      <c r="J104" s="7"/>
      <c r="K104" s="108">
        <f t="shared" si="3"/>
        <v>2.9156217701462035E-5</v>
      </c>
      <c r="L104" s="145"/>
    </row>
    <row r="105" spans="1:12">
      <c r="A105" s="187" t="s">
        <v>360</v>
      </c>
      <c r="B105" s="7"/>
      <c r="C105" s="193"/>
      <c r="D105" s="7"/>
      <c r="E105" s="68">
        <f>VLOOKUP(A105,'سود سپرده بانکی'!$A$7:$N$115,8,0)</f>
        <v>15487729.615384616</v>
      </c>
      <c r="F105" s="7"/>
      <c r="G105" s="108">
        <f t="shared" si="2"/>
        <v>3.9359991771722334E-3</v>
      </c>
      <c r="H105" s="7"/>
      <c r="I105" s="68">
        <f>VLOOKUP(A105,'سود سپرده بانکی'!$A$7:$N$115,14,0)</f>
        <v>15487729.615384616</v>
      </c>
      <c r="J105" s="7"/>
      <c r="K105" s="108">
        <f t="shared" si="3"/>
        <v>6.6141041014419185E-5</v>
      </c>
      <c r="L105" s="145"/>
    </row>
    <row r="106" spans="1:12">
      <c r="A106" s="187" t="s">
        <v>361</v>
      </c>
      <c r="B106" s="7"/>
      <c r="C106" s="193"/>
      <c r="D106" s="7"/>
      <c r="E106" s="68">
        <f>VLOOKUP(A106,'سود سپرده بانکی'!$A$7:$N$115,8,0)</f>
        <v>2364422.884615385</v>
      </c>
      <c r="F106" s="7"/>
      <c r="G106" s="108">
        <f t="shared" si="2"/>
        <v>6.0088642812365135E-4</v>
      </c>
      <c r="H106" s="7"/>
      <c r="I106" s="68">
        <f>VLOOKUP(A106,'سود سپرده بانکی'!$A$7:$N$115,14,0)</f>
        <v>2364422.884615385</v>
      </c>
      <c r="J106" s="7"/>
      <c r="K106" s="108">
        <f t="shared" si="3"/>
        <v>1.0097373525389628E-5</v>
      </c>
      <c r="L106" s="145"/>
    </row>
    <row r="107" spans="1:12">
      <c r="A107" s="187" t="s">
        <v>362</v>
      </c>
      <c r="B107" s="7"/>
      <c r="C107" s="193"/>
      <c r="D107" s="7"/>
      <c r="E107" s="68">
        <f>VLOOKUP(A107,'سود سپرده بانکی'!$A$7:$N$115,8,0)</f>
        <v>6712181.826923077</v>
      </c>
      <c r="F107" s="7"/>
      <c r="G107" s="108">
        <f t="shared" si="2"/>
        <v>1.7058111681880345E-3</v>
      </c>
      <c r="H107" s="7"/>
      <c r="I107" s="68">
        <f>VLOOKUP(A107,'سود سپرده بانکی'!$A$7:$N$115,14,0)</f>
        <v>6712181.826923077</v>
      </c>
      <c r="J107" s="7"/>
      <c r="K107" s="108">
        <f t="shared" si="3"/>
        <v>2.8664672262212232E-5</v>
      </c>
      <c r="L107" s="145"/>
    </row>
    <row r="108" spans="1:12">
      <c r="A108" s="187" t="s">
        <v>363</v>
      </c>
      <c r="B108" s="7"/>
      <c r="C108" s="193"/>
      <c r="D108" s="7"/>
      <c r="E108" s="68">
        <f>VLOOKUP(A108,'سود سپرده بانکی'!$A$7:$N$115,8,0)</f>
        <v>863432.30769230763</v>
      </c>
      <c r="F108" s="7"/>
      <c r="G108" s="108">
        <f t="shared" si="2"/>
        <v>2.1942976388514705E-4</v>
      </c>
      <c r="H108" s="7"/>
      <c r="I108" s="68">
        <f>VLOOKUP(A108,'سود سپرده بانکی'!$A$7:$N$115,14,0)</f>
        <v>863432.30769230763</v>
      </c>
      <c r="J108" s="7"/>
      <c r="K108" s="108">
        <f t="shared" si="3"/>
        <v>3.6873262314395925E-6</v>
      </c>
      <c r="L108" s="145"/>
    </row>
    <row r="109" spans="1:12">
      <c r="A109" s="187" t="s">
        <v>364</v>
      </c>
      <c r="B109" s="7"/>
      <c r="C109" s="193"/>
      <c r="D109" s="7"/>
      <c r="E109" s="68">
        <f>VLOOKUP(A109,'سود سپرده بانکی'!$A$7:$N$115,8,0)</f>
        <v>1920928.846153846</v>
      </c>
      <c r="F109" s="7"/>
      <c r="G109" s="108">
        <f t="shared" si="2"/>
        <v>4.8817835445406471E-4</v>
      </c>
      <c r="H109" s="7"/>
      <c r="I109" s="68">
        <f>VLOOKUP(A109,'سود سپرده بانکی'!$A$7:$N$115,14,0)</f>
        <v>1920928.846153846</v>
      </c>
      <c r="J109" s="7"/>
      <c r="K109" s="108">
        <f t="shared" si="3"/>
        <v>8.2034124274119625E-6</v>
      </c>
      <c r="L109" s="145"/>
    </row>
    <row r="110" spans="1:12">
      <c r="A110" s="187" t="s">
        <v>365</v>
      </c>
      <c r="B110" s="7"/>
      <c r="C110" s="193"/>
      <c r="D110" s="7"/>
      <c r="E110" s="68">
        <f>VLOOKUP(A110,'سود سپرده بانکی'!$A$7:$N$115,8,0)</f>
        <v>2577493.557692308</v>
      </c>
      <c r="F110" s="7"/>
      <c r="G110" s="108">
        <f t="shared" si="2"/>
        <v>6.5503548771707559E-4</v>
      </c>
      <c r="H110" s="7"/>
      <c r="I110" s="68">
        <f>VLOOKUP(A110,'سود سپرده بانکی'!$A$7:$N$115,14,0)</f>
        <v>2577493.557692308</v>
      </c>
      <c r="J110" s="7"/>
      <c r="K110" s="108">
        <f t="shared" si="3"/>
        <v>1.1007301350637286E-5</v>
      </c>
      <c r="L110" s="145"/>
    </row>
    <row r="111" spans="1:12">
      <c r="A111" s="187" t="s">
        <v>366</v>
      </c>
      <c r="B111" s="7"/>
      <c r="C111" s="193" t="s">
        <v>99</v>
      </c>
      <c r="D111" s="7"/>
      <c r="E111" s="68">
        <f>VLOOKUP(A111,'سود سپرده بانکی'!$A$7:$N$115,8,0)</f>
        <v>2114528.3653846155</v>
      </c>
      <c r="F111" s="7"/>
      <c r="G111" s="108">
        <f t="shared" si="2"/>
        <v>5.3737908092053876E-4</v>
      </c>
      <c r="H111" s="7"/>
      <c r="I111" s="68">
        <f>VLOOKUP(A111,'سود سپرده بانکی'!$A$7:$N$115,14,0)</f>
        <v>2114528.3653846155</v>
      </c>
      <c r="J111" s="7"/>
      <c r="K111" s="108">
        <f t="shared" si="3"/>
        <v>9.0301878205654257E-6</v>
      </c>
      <c r="L111" s="145"/>
    </row>
    <row r="112" spans="1:12">
      <c r="A112" s="187" t="s">
        <v>367</v>
      </c>
      <c r="B112" s="7"/>
      <c r="C112" s="193" t="s">
        <v>117</v>
      </c>
      <c r="D112" s="7"/>
      <c r="E112" s="68">
        <f>VLOOKUP(A112,'سود سپرده بانکی'!$A$7:$N$115,8,0)</f>
        <v>28501490.769230772</v>
      </c>
      <c r="F112" s="7"/>
      <c r="G112" s="108">
        <f t="shared" si="2"/>
        <v>7.2432723841226775E-3</v>
      </c>
      <c r="H112" s="7"/>
      <c r="I112" s="68">
        <f>VLOOKUP(A112,'سود سپرده بانکی'!$A$7:$N$115,14,0)</f>
        <v>28501490.769230772</v>
      </c>
      <c r="J112" s="7"/>
      <c r="K112" s="108">
        <f t="shared" si="3"/>
        <v>1.2171688922482317E-4</v>
      </c>
      <c r="L112" s="145"/>
    </row>
    <row r="113" spans="1:12">
      <c r="A113" s="187" t="s">
        <v>368</v>
      </c>
      <c r="B113" s="7"/>
      <c r="C113" s="192" t="s">
        <v>195</v>
      </c>
      <c r="D113" s="7"/>
      <c r="E113" s="68">
        <f>VLOOKUP(A113,'سود سپرده بانکی'!$A$7:$N$115,8,0)</f>
        <v>1834881.7924528301</v>
      </c>
      <c r="F113" s="7"/>
      <c r="G113" s="108">
        <f t="shared" si="2"/>
        <v>4.6631064750308153E-4</v>
      </c>
      <c r="H113" s="7"/>
      <c r="I113" s="68">
        <f>VLOOKUP(A113,'سود سپرده بانکی'!$A$7:$N$115,14,0)</f>
        <v>1834881.7924528301</v>
      </c>
      <c r="J113" s="7"/>
      <c r="K113" s="108">
        <f t="shared" si="3"/>
        <v>7.8359446416652718E-6</v>
      </c>
      <c r="L113" s="145"/>
    </row>
    <row r="114" spans="1:12">
      <c r="A114" s="187" t="s">
        <v>369</v>
      </c>
      <c r="B114" s="7"/>
      <c r="C114" s="192"/>
      <c r="D114" s="7"/>
      <c r="E114" s="68">
        <f>VLOOKUP(A114,'سود سپرده بانکی'!$A$7:$N$115,8,0)</f>
        <v>9087653.2075471692</v>
      </c>
      <c r="F114" s="7"/>
      <c r="G114" s="108">
        <f t="shared" si="2"/>
        <v>2.3095054236872401E-3</v>
      </c>
      <c r="H114" s="7"/>
      <c r="I114" s="68">
        <f>VLOOKUP(A114,'سود سپرده بانکی'!$A$7:$N$115,14,0)</f>
        <v>9087653.2075471692</v>
      </c>
      <c r="J114" s="7"/>
      <c r="K114" s="108">
        <f t="shared" si="3"/>
        <v>3.8809228883239951E-5</v>
      </c>
      <c r="L114" s="145"/>
    </row>
    <row r="115" spans="1:12">
      <c r="A115" s="187" t="s">
        <v>370</v>
      </c>
      <c r="B115" s="7"/>
      <c r="C115" s="192" t="s">
        <v>269</v>
      </c>
      <c r="D115" s="7"/>
      <c r="E115" s="68">
        <f>VLOOKUP(A115,'سود سپرده بانکی'!$A$7:$N$115,8,0)</f>
        <v>2643495.283018868</v>
      </c>
      <c r="F115" s="7"/>
      <c r="G115" s="108">
        <f t="shared" si="2"/>
        <v>6.7180894277011542E-4</v>
      </c>
      <c r="H115" s="7"/>
      <c r="I115" s="68">
        <f>VLOOKUP(A115,'سود سپرده بانکی'!$A$7:$N$115,14,0)</f>
        <v>2643495.283018868</v>
      </c>
      <c r="J115" s="7"/>
      <c r="K115" s="108">
        <f t="shared" si="3"/>
        <v>1.1289164666323664E-5</v>
      </c>
      <c r="L115" s="145"/>
    </row>
    <row r="116" spans="1:12" ht="22.5" thickBot="1">
      <c r="A116" s="187" t="s">
        <v>106</v>
      </c>
      <c r="B116" s="7"/>
      <c r="C116" s="192" t="s">
        <v>157</v>
      </c>
      <c r="D116" s="7"/>
      <c r="E116" s="68">
        <f>VLOOKUP(A116,'سود سپرده بانکی'!$A$7:$N$115,8,0)</f>
        <v>28888538</v>
      </c>
      <c r="F116" s="7"/>
      <c r="G116" s="108">
        <f t="shared" si="2"/>
        <v>7.3416352571625838E-3</v>
      </c>
      <c r="H116" s="7"/>
      <c r="I116" s="68">
        <f>VLOOKUP(A116,'سود سپرده بانکی'!$A$7:$N$115,14,0)</f>
        <v>44377044</v>
      </c>
      <c r="J116" s="7"/>
      <c r="K116" s="108">
        <f t="shared" si="3"/>
        <v>1.8951414830919327E-4</v>
      </c>
      <c r="L116" s="145"/>
    </row>
    <row r="117" spans="1:12" ht="22.5" thickBot="1">
      <c r="A117" s="188"/>
      <c r="B117" s="184"/>
      <c r="D117" s="188"/>
      <c r="E117" s="406">
        <f>SUM(E8:E116)</f>
        <v>3934891476.9112248</v>
      </c>
      <c r="F117" s="407"/>
      <c r="G117" s="102">
        <f>SUM(G8:G116)</f>
        <v>0.99999999999999944</v>
      </c>
      <c r="H117" s="407"/>
      <c r="I117" s="406">
        <f>SUM(I8:I116)</f>
        <v>234162168871.94424</v>
      </c>
      <c r="J117" s="7"/>
      <c r="K117" s="102">
        <f>SUM(K8:K116)</f>
        <v>1.0000000000000004</v>
      </c>
      <c r="L117" s="145"/>
    </row>
    <row r="118" spans="1:12" ht="22.5" thickTop="1"/>
  </sheetData>
  <autoFilter ref="A7:L7" xr:uid="{00000000-0009-0000-0000-00000C000000}">
    <sortState xmlns:xlrd2="http://schemas.microsoft.com/office/spreadsheetml/2017/richdata2" ref="A8:L40">
      <sortCondition sortBy="cellColor" ref="I8:I40" dxfId="5"/>
      <sortCondition sortBy="cellColor" ref="E8:E40" dxfId="4"/>
      <sortCondition sortBy="cellColor" ref="E8:E40" dxfId="3"/>
      <sortCondition descending="1" sortBy="cellColor" ref="E8:E40" dxfId="2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5" type="noConversion"/>
  <conditionalFormatting sqref="A1:A9 A17:A1048576">
    <cfRule type="duplicateValues" dxfId="1" priority="1"/>
  </conditionalFormatting>
  <pageMargins left="0.7" right="0.7" top="0.75" bottom="0.75" header="0.3" footer="0.3"/>
  <pageSetup paperSize="9" scale="1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54EF-103F-423C-98F5-8B94ED89BC42}">
  <sheetPr>
    <tabColor theme="4" tint="0.79998168889431442"/>
  </sheetPr>
  <dimension ref="A1:AH14"/>
  <sheetViews>
    <sheetView rightToLeft="1" view="pageBreakPreview" zoomScale="70" zoomScaleNormal="100" zoomScaleSheetLayoutView="70" workbookViewId="0">
      <selection activeCell="G18" sqref="G18"/>
    </sheetView>
  </sheetViews>
  <sheetFormatPr defaultColWidth="9.140625" defaultRowHeight="30.75" customHeight="1"/>
  <cols>
    <col min="1" max="1" width="37.5703125" style="141" customWidth="1"/>
    <col min="2" max="2" width="0.85546875" style="141" customWidth="1"/>
    <col min="3" max="3" width="14" style="141" customWidth="1"/>
    <col min="4" max="4" width="0.140625" style="141" customWidth="1"/>
    <col min="5" max="5" width="14" style="141" customWidth="1"/>
    <col min="6" max="6" width="1" style="141" customWidth="1"/>
    <col min="7" max="7" width="22.5703125" style="77" customWidth="1"/>
    <col min="8" max="8" width="0.85546875" style="77" customWidth="1"/>
    <col min="9" max="9" width="14" style="77" customWidth="1"/>
    <col min="10" max="10" width="0.7109375" style="77" customWidth="1"/>
    <col min="11" max="11" width="22.5703125" style="77" customWidth="1"/>
    <col min="12" max="12" width="0.7109375" style="77" customWidth="1"/>
    <col min="13" max="13" width="24.5703125" style="77" customWidth="1"/>
    <col min="14" max="14" width="0.5703125" style="77" customWidth="1"/>
    <col min="15" max="15" width="18.140625" style="77" customWidth="1"/>
    <col min="16" max="16" width="0.5703125" style="77" customWidth="1"/>
    <col min="17" max="17" width="26.140625" style="77" customWidth="1"/>
    <col min="18" max="18" width="6.42578125" style="141" customWidth="1"/>
    <col min="19" max="19" width="4.28515625" style="141" customWidth="1"/>
    <col min="20" max="20" width="16.28515625" style="211" bestFit="1" customWidth="1"/>
    <col min="21" max="21" width="33.28515625" style="209" customWidth="1"/>
    <col min="22" max="22" width="14.5703125" style="141" bestFit="1" customWidth="1"/>
    <col min="23" max="23" width="16" style="209" customWidth="1"/>
    <col min="24" max="24" width="6.42578125" style="141" customWidth="1"/>
    <col min="25" max="25" width="17.85546875" style="141" customWidth="1"/>
    <col min="26" max="26" width="15.42578125" style="141" customWidth="1"/>
    <col min="27" max="27" width="3.28515625" style="141" customWidth="1"/>
    <col min="28" max="28" width="4.28515625" style="141" customWidth="1"/>
    <col min="29" max="29" width="7.5703125" style="211" customWidth="1"/>
    <col min="30" max="30" width="13.85546875" style="209" customWidth="1"/>
    <col min="31" max="31" width="6.42578125" style="141" customWidth="1"/>
    <col min="32" max="32" width="16" style="209" customWidth="1"/>
    <col min="33" max="33" width="6.42578125" style="141" customWidth="1"/>
    <col min="34" max="34" width="13.140625" style="141" customWidth="1"/>
    <col min="35" max="35" width="21" style="141" customWidth="1"/>
    <col min="36" max="16384" width="9.140625" style="141"/>
  </cols>
  <sheetData>
    <row r="1" spans="1:34" ht="30.75" customHeight="1">
      <c r="A1" s="334" t="s">
        <v>84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</row>
    <row r="2" spans="1:34" ht="30.75" customHeight="1">
      <c r="A2" s="334" t="s">
        <v>53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34" ht="30.75" customHeight="1">
      <c r="A3" s="334" t="str">
        <f>' سهام'!A3:W3</f>
        <v>برای ماه منتهی به 1403/05/31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</row>
    <row r="4" spans="1:34" ht="30.75" customHeight="1">
      <c r="A4" s="382" t="s">
        <v>338</v>
      </c>
      <c r="B4" s="382"/>
      <c r="C4" s="382"/>
      <c r="D4" s="382"/>
      <c r="E4" s="382"/>
      <c r="F4" s="382"/>
      <c r="G4" s="382"/>
      <c r="H4" s="73"/>
      <c r="I4" s="74"/>
      <c r="J4" s="74"/>
      <c r="K4" s="74"/>
      <c r="L4" s="74"/>
      <c r="M4" s="74"/>
      <c r="N4" s="74"/>
      <c r="O4" s="71"/>
      <c r="P4" s="74"/>
      <c r="Q4" s="74"/>
    </row>
    <row r="5" spans="1:34" ht="30.75" customHeight="1" thickBot="1">
      <c r="A5" s="207"/>
      <c r="B5" s="383"/>
      <c r="C5" s="383"/>
      <c r="D5" s="383"/>
      <c r="E5" s="383"/>
      <c r="F5" s="172"/>
      <c r="G5" s="384" t="s">
        <v>375</v>
      </c>
      <c r="H5" s="384"/>
      <c r="I5" s="384"/>
      <c r="J5" s="384"/>
      <c r="K5" s="384"/>
      <c r="L5" s="74"/>
      <c r="M5" s="384" t="s">
        <v>376</v>
      </c>
      <c r="N5" s="384"/>
      <c r="O5" s="384"/>
      <c r="P5" s="384"/>
      <c r="Q5" s="384"/>
    </row>
    <row r="6" spans="1:34" ht="42" customHeight="1" thickBot="1">
      <c r="A6" s="19" t="s">
        <v>35</v>
      </c>
      <c r="B6" s="173"/>
      <c r="C6" s="174" t="s">
        <v>21</v>
      </c>
      <c r="D6" s="173"/>
      <c r="E6" s="174" t="s">
        <v>32</v>
      </c>
      <c r="F6" s="173"/>
      <c r="G6" s="75" t="s">
        <v>54</v>
      </c>
      <c r="H6" s="76"/>
      <c r="I6" s="75" t="s">
        <v>37</v>
      </c>
      <c r="J6" s="76"/>
      <c r="K6" s="75" t="s">
        <v>38</v>
      </c>
      <c r="L6" s="74"/>
      <c r="M6" s="75" t="s">
        <v>54</v>
      </c>
      <c r="N6" s="76"/>
      <c r="O6" s="75" t="s">
        <v>37</v>
      </c>
      <c r="P6" s="76"/>
      <c r="Q6" s="75" t="s">
        <v>38</v>
      </c>
    </row>
    <row r="7" spans="1:34" ht="30" customHeight="1" thickBot="1">
      <c r="A7" s="214" t="s">
        <v>130</v>
      </c>
      <c r="B7" s="177"/>
      <c r="C7" s="176" t="s">
        <v>371</v>
      </c>
      <c r="D7" s="109"/>
      <c r="E7" s="88">
        <v>0.23</v>
      </c>
      <c r="F7" s="109"/>
      <c r="G7" s="203">
        <v>0</v>
      </c>
      <c r="H7" s="71"/>
      <c r="I7" s="71">
        <v>0</v>
      </c>
      <c r="J7" s="71"/>
      <c r="K7" s="71">
        <f>G7+I7</f>
        <v>0</v>
      </c>
      <c r="L7" s="71"/>
      <c r="M7" s="71">
        <v>38098063699</v>
      </c>
      <c r="N7" s="71"/>
      <c r="O7" s="71">
        <v>0</v>
      </c>
      <c r="P7" s="71"/>
      <c r="Q7" s="71">
        <f>M7+O7</f>
        <v>38098063699</v>
      </c>
      <c r="R7" s="270"/>
      <c r="T7" s="213"/>
      <c r="V7" s="223"/>
      <c r="X7" s="218"/>
      <c r="Y7" s="150"/>
      <c r="AC7" s="213"/>
      <c r="AG7" s="218"/>
      <c r="AH7" s="150"/>
    </row>
    <row r="8" spans="1:34" ht="30" customHeight="1">
      <c r="A8" s="214" t="s">
        <v>275</v>
      </c>
      <c r="B8" s="177"/>
      <c r="C8" s="176" t="s">
        <v>372</v>
      </c>
      <c r="D8" s="109"/>
      <c r="E8" s="88">
        <v>0.15</v>
      </c>
      <c r="F8" s="109"/>
      <c r="G8" s="80">
        <v>23389619334</v>
      </c>
      <c r="H8" s="71"/>
      <c r="I8" s="71">
        <v>0</v>
      </c>
      <c r="J8" s="71"/>
      <c r="K8" s="71">
        <f t="shared" ref="K8:K12" si="0">G8+I8</f>
        <v>23389619334</v>
      </c>
      <c r="L8" s="71"/>
      <c r="M8" s="71">
        <v>75868481553</v>
      </c>
      <c r="N8" s="71"/>
      <c r="O8" s="71">
        <v>0</v>
      </c>
      <c r="P8" s="71"/>
      <c r="Q8" s="71">
        <f t="shared" ref="Q8:Q12" si="1">M8+O8</f>
        <v>75868481553</v>
      </c>
      <c r="R8" s="270"/>
      <c r="S8" s="223"/>
      <c r="T8" s="210"/>
      <c r="V8" s="223"/>
      <c r="X8" s="218"/>
      <c r="Y8" s="150"/>
      <c r="AC8" s="212"/>
      <c r="AE8" s="218"/>
      <c r="AG8" s="218"/>
      <c r="AH8" s="150"/>
    </row>
    <row r="9" spans="1:34" ht="30" customHeight="1">
      <c r="A9" s="214" t="s">
        <v>142</v>
      </c>
      <c r="B9" s="177"/>
      <c r="C9" s="176" t="s">
        <v>373</v>
      </c>
      <c r="D9" s="109"/>
      <c r="E9" s="88">
        <v>0.18</v>
      </c>
      <c r="F9" s="109"/>
      <c r="G9" s="80">
        <v>6229094638</v>
      </c>
      <c r="H9" s="71"/>
      <c r="I9" s="71">
        <v>0</v>
      </c>
      <c r="J9" s="71"/>
      <c r="K9" s="71">
        <f t="shared" si="0"/>
        <v>6229094638</v>
      </c>
      <c r="L9" s="71"/>
      <c r="M9" s="71">
        <v>51047972565</v>
      </c>
      <c r="N9" s="71"/>
      <c r="O9" s="71">
        <v>0</v>
      </c>
      <c r="P9" s="71"/>
      <c r="Q9" s="71">
        <f t="shared" si="1"/>
        <v>51047972565</v>
      </c>
      <c r="R9" s="270"/>
      <c r="T9" s="210"/>
      <c r="V9" s="223"/>
      <c r="X9" s="218"/>
      <c r="Y9" s="150"/>
      <c r="AC9" s="212"/>
      <c r="AE9" s="225"/>
      <c r="AG9" s="218"/>
      <c r="AH9" s="150"/>
    </row>
    <row r="10" spans="1:34" ht="30" customHeight="1">
      <c r="A10" s="214" t="s">
        <v>129</v>
      </c>
      <c r="B10" s="177"/>
      <c r="C10" s="176" t="s">
        <v>131</v>
      </c>
      <c r="D10" s="109"/>
      <c r="E10" s="88">
        <v>0.23</v>
      </c>
      <c r="F10" s="109"/>
      <c r="G10" s="80">
        <v>0</v>
      </c>
      <c r="H10" s="71"/>
      <c r="I10" s="71">
        <v>0</v>
      </c>
      <c r="J10" s="71"/>
      <c r="K10" s="71">
        <f t="shared" si="0"/>
        <v>0</v>
      </c>
      <c r="L10" s="71"/>
      <c r="M10" s="71">
        <v>760435788</v>
      </c>
      <c r="N10" s="71"/>
      <c r="O10" s="71">
        <v>0</v>
      </c>
      <c r="P10" s="71"/>
      <c r="Q10" s="71">
        <f t="shared" si="1"/>
        <v>760435788</v>
      </c>
      <c r="R10" s="270"/>
      <c r="S10" s="223"/>
      <c r="T10" s="210"/>
      <c r="V10" s="223"/>
      <c r="X10" s="218"/>
      <c r="Y10" s="150"/>
      <c r="AC10" s="212"/>
      <c r="AE10" s="225"/>
      <c r="AG10" s="218"/>
      <c r="AH10" s="150"/>
    </row>
    <row r="11" spans="1:34" ht="30" customHeight="1">
      <c r="A11" s="214" t="s">
        <v>109</v>
      </c>
      <c r="B11" s="177"/>
      <c r="C11" s="176" t="s">
        <v>111</v>
      </c>
      <c r="D11" s="109"/>
      <c r="E11" s="88" t="s">
        <v>351</v>
      </c>
      <c r="F11" s="109"/>
      <c r="G11" s="80">
        <v>4929971578</v>
      </c>
      <c r="H11" s="71"/>
      <c r="I11" s="71">
        <v>0</v>
      </c>
      <c r="J11" s="71"/>
      <c r="K11" s="71">
        <f t="shared" si="0"/>
        <v>4929971578</v>
      </c>
      <c r="L11" s="71"/>
      <c r="M11" s="71">
        <v>46176122438</v>
      </c>
      <c r="N11" s="71"/>
      <c r="O11" s="71">
        <v>0</v>
      </c>
      <c r="P11" s="71"/>
      <c r="Q11" s="71">
        <f t="shared" si="1"/>
        <v>46176122438</v>
      </c>
      <c r="R11" s="270"/>
      <c r="S11" s="223"/>
      <c r="T11" s="210"/>
      <c r="V11" s="223"/>
      <c r="X11" s="218"/>
      <c r="Y11" s="150"/>
      <c r="AC11" s="212"/>
      <c r="AE11" s="218"/>
      <c r="AG11" s="218"/>
      <c r="AH11" s="150"/>
    </row>
    <row r="12" spans="1:34" ht="30" customHeight="1">
      <c r="A12" s="187" t="s">
        <v>166</v>
      </c>
      <c r="B12" s="177"/>
      <c r="C12" s="176" t="s">
        <v>374</v>
      </c>
      <c r="D12" s="109"/>
      <c r="E12" s="88">
        <v>0.18</v>
      </c>
      <c r="F12" s="109"/>
      <c r="G12" s="80">
        <v>0</v>
      </c>
      <c r="H12" s="71"/>
      <c r="I12" s="71">
        <v>0</v>
      </c>
      <c r="J12" s="71"/>
      <c r="K12" s="71">
        <f t="shared" si="0"/>
        <v>0</v>
      </c>
      <c r="L12" s="71"/>
      <c r="M12" s="71">
        <v>8269843927</v>
      </c>
      <c r="N12" s="71"/>
      <c r="O12" s="71">
        <v>0</v>
      </c>
      <c r="P12" s="71"/>
      <c r="Q12" s="71">
        <f t="shared" si="1"/>
        <v>8269843927</v>
      </c>
      <c r="R12" s="270"/>
      <c r="T12" s="212"/>
      <c r="V12" s="223"/>
      <c r="X12" s="218"/>
      <c r="Y12" s="150"/>
      <c r="AC12" s="212"/>
      <c r="AE12" s="218"/>
      <c r="AG12" s="218"/>
      <c r="AH12" s="150"/>
    </row>
    <row r="13" spans="1:34" s="109" customFormat="1" ht="24.75" customHeight="1" thickBot="1">
      <c r="A13" s="263" t="s">
        <v>2</v>
      </c>
      <c r="B13" s="264"/>
      <c r="C13" s="265"/>
      <c r="D13" s="266"/>
      <c r="E13" s="267"/>
      <c r="F13" s="303">
        <f>SUM(F7:F12)</f>
        <v>0</v>
      </c>
      <c r="G13" s="268">
        <f>SUM(G7:G12)</f>
        <v>34548685550</v>
      </c>
      <c r="H13" s="269"/>
      <c r="I13" s="268">
        <f>SUM(I7:I12)</f>
        <v>0</v>
      </c>
      <c r="J13" s="269">
        <f>SUM(J7:J12)</f>
        <v>0</v>
      </c>
      <c r="K13" s="268">
        <f>SUM(K7:K12)</f>
        <v>34548685550</v>
      </c>
      <c r="L13" s="269"/>
      <c r="M13" s="268">
        <f>SUM(M7:M12)</f>
        <v>220220919970</v>
      </c>
      <c r="N13" s="269"/>
      <c r="O13" s="268">
        <f>SUM(O7:O12)</f>
        <v>0</v>
      </c>
      <c r="P13" s="269"/>
      <c r="Q13" s="268">
        <f>SUM(Q7:Q12)</f>
        <v>220220919970</v>
      </c>
      <c r="T13" s="211"/>
      <c r="U13" s="210"/>
      <c r="V13" s="223"/>
      <c r="W13" s="210"/>
      <c r="Y13" s="175"/>
      <c r="AC13" s="212"/>
      <c r="AD13" s="210"/>
      <c r="AF13" s="210"/>
      <c r="AH13" s="175"/>
    </row>
    <row r="14" spans="1:34" ht="30.75" customHeight="1" thickTop="1">
      <c r="H14" s="71"/>
      <c r="J14" s="71"/>
      <c r="L14" s="71"/>
      <c r="P14" s="71"/>
    </row>
  </sheetData>
  <autoFilter ref="A6:Q12" xr:uid="{00000000-0009-0000-0000-000006000000}">
    <sortState xmlns:xlrd2="http://schemas.microsoft.com/office/spreadsheetml/2017/richdata2" ref="A7:Q12">
      <sortCondition descending="1" ref="A6:A12"/>
    </sortState>
  </autoFilter>
  <mergeCells count="7">
    <mergeCell ref="A1:Q1"/>
    <mergeCell ref="A2:Q2"/>
    <mergeCell ref="A3:Q3"/>
    <mergeCell ref="A4:G4"/>
    <mergeCell ref="B5:E5"/>
    <mergeCell ref="G5:K5"/>
    <mergeCell ref="M5:Q5"/>
  </mergeCells>
  <conditionalFormatting sqref="A12">
    <cfRule type="duplicateValues" dxfId="0" priority="1"/>
  </conditionalFormatting>
  <printOptions horizontalCentered="1"/>
  <pageMargins left="0" right="0" top="0" bottom="0" header="0.3" footer="0.3"/>
  <pageSetup paperSize="9" scale="72" fitToHeight="0" orientation="landscape" r:id="rId1"/>
  <colBreaks count="1" manualBreakCount="1">
    <brk id="17" max="1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79998168889431442"/>
  </sheetPr>
  <dimension ref="A1:W118"/>
  <sheetViews>
    <sheetView rightToLeft="1" view="pageBreakPreview" topLeftCell="A55" zoomScale="85" zoomScaleNormal="100" zoomScaleSheetLayoutView="85" workbookViewId="0">
      <selection activeCell="D11" sqref="D11"/>
    </sheetView>
  </sheetViews>
  <sheetFormatPr defaultColWidth="9.140625" defaultRowHeight="30.75" customHeight="1"/>
  <cols>
    <col min="1" max="1" width="37.5703125" style="141" customWidth="1"/>
    <col min="2" max="2" width="0.85546875" style="141" customWidth="1"/>
    <col min="3" max="3" width="1" style="141" customWidth="1"/>
    <col min="4" max="4" width="19.140625" style="77" customWidth="1"/>
    <col min="5" max="5" width="0.85546875" style="77" customWidth="1"/>
    <col min="6" max="6" width="14" style="77" customWidth="1"/>
    <col min="7" max="7" width="0.7109375" style="77" customWidth="1"/>
    <col min="8" max="8" width="18.140625" style="77" customWidth="1"/>
    <col min="9" max="9" width="0.7109375" style="77" customWidth="1"/>
    <col min="10" max="10" width="20" style="77" customWidth="1"/>
    <col min="11" max="11" width="0.5703125" style="77" customWidth="1"/>
    <col min="12" max="12" width="18.140625" style="77" customWidth="1"/>
    <col min="13" max="13" width="0.5703125" style="77" customWidth="1"/>
    <col min="14" max="14" width="18.85546875" style="77" customWidth="1"/>
    <col min="15" max="15" width="31.42578125" style="77" hidden="1" customWidth="1"/>
    <col min="16" max="16" width="12" style="77" hidden="1" customWidth="1"/>
    <col min="17" max="17" width="17" style="77" hidden="1" customWidth="1"/>
    <col min="18" max="18" width="6.28515625" style="141" hidden="1" customWidth="1"/>
    <col min="19" max="19" width="15.140625" style="209" hidden="1" customWidth="1"/>
    <col min="20" max="21" width="15.42578125" style="209" hidden="1" customWidth="1"/>
    <col min="22" max="22" width="17.42578125" style="141" hidden="1" customWidth="1"/>
    <col min="23" max="23" width="12.7109375" style="141" hidden="1" customWidth="1"/>
    <col min="24" max="16384" width="9.140625" style="141"/>
  </cols>
  <sheetData>
    <row r="1" spans="1:23" ht="30.75" customHeight="1">
      <c r="A1" s="334" t="s">
        <v>84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111"/>
      <c r="P1" s="111"/>
      <c r="Q1" s="111"/>
    </row>
    <row r="2" spans="1:23" ht="30.75" customHeight="1">
      <c r="A2" s="334" t="s">
        <v>53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111"/>
      <c r="P2" s="111"/>
      <c r="Q2" s="111"/>
    </row>
    <row r="3" spans="1:23" ht="30.75" customHeight="1">
      <c r="A3" s="334" t="str">
        <f>' سهام'!A3:W3</f>
        <v>برای ماه منتهی به 1403/05/31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111"/>
      <c r="P3" s="111"/>
      <c r="Q3" s="111"/>
    </row>
    <row r="4" spans="1:23" ht="30.75" customHeight="1">
      <c r="A4" s="382" t="s">
        <v>339</v>
      </c>
      <c r="B4" s="382"/>
      <c r="C4" s="382"/>
      <c r="D4" s="382"/>
      <c r="E4" s="73"/>
      <c r="F4" s="74"/>
      <c r="G4" s="74"/>
      <c r="H4" s="74"/>
      <c r="I4" s="74"/>
      <c r="J4" s="74"/>
      <c r="K4" s="74"/>
      <c r="L4" s="71"/>
      <c r="M4" s="74"/>
      <c r="N4" s="74"/>
      <c r="O4" s="74"/>
      <c r="P4" s="74"/>
      <c r="Q4" s="74"/>
    </row>
    <row r="5" spans="1:23" ht="30.75" customHeight="1" thickBot="1">
      <c r="A5" s="207"/>
      <c r="B5" s="281"/>
      <c r="C5" s="172"/>
      <c r="D5" s="384" t="s">
        <v>375</v>
      </c>
      <c r="E5" s="384"/>
      <c r="F5" s="384"/>
      <c r="G5" s="384"/>
      <c r="H5" s="384"/>
      <c r="I5" s="74"/>
      <c r="J5" s="384" t="s">
        <v>349</v>
      </c>
      <c r="K5" s="384"/>
      <c r="L5" s="384"/>
      <c r="M5" s="384"/>
      <c r="N5" s="384"/>
      <c r="O5" s="276"/>
      <c r="P5" s="276"/>
      <c r="Q5" s="276"/>
    </row>
    <row r="6" spans="1:23" ht="42" customHeight="1" thickBot="1">
      <c r="A6" s="19" t="s">
        <v>35</v>
      </c>
      <c r="B6" s="173"/>
      <c r="C6" s="173"/>
      <c r="D6" s="75" t="s">
        <v>54</v>
      </c>
      <c r="E6" s="76"/>
      <c r="F6" s="75" t="s">
        <v>37</v>
      </c>
      <c r="G6" s="76"/>
      <c r="H6" s="75" t="s">
        <v>38</v>
      </c>
      <c r="I6" s="74"/>
      <c r="J6" s="75" t="s">
        <v>54</v>
      </c>
      <c r="K6" s="76"/>
      <c r="L6" s="75" t="s">
        <v>37</v>
      </c>
      <c r="M6" s="76"/>
      <c r="N6" s="75" t="s">
        <v>38</v>
      </c>
      <c r="O6" s="277"/>
      <c r="P6" s="277"/>
      <c r="Q6" s="277"/>
    </row>
    <row r="7" spans="1:23" ht="30.75" customHeight="1">
      <c r="A7" s="214" t="s">
        <v>108</v>
      </c>
      <c r="B7" s="173"/>
      <c r="C7" s="173"/>
      <c r="D7" s="71">
        <v>2451</v>
      </c>
      <c r="E7" s="76"/>
      <c r="F7" s="277">
        <v>0</v>
      </c>
      <c r="G7" s="76"/>
      <c r="H7" s="71">
        <f>D7+F7</f>
        <v>2451</v>
      </c>
      <c r="I7" s="74"/>
      <c r="J7" s="71">
        <v>19107</v>
      </c>
      <c r="K7" s="71"/>
      <c r="L7" s="71">
        <v>0</v>
      </c>
      <c r="M7" s="71"/>
      <c r="N7" s="71">
        <f>J7+L7</f>
        <v>19107</v>
      </c>
      <c r="O7" s="71" t="str">
        <f t="shared" ref="O7" si="0">A7</f>
        <v>ملی کوتاه مدت- 0228580617005</v>
      </c>
      <c r="P7" s="88">
        <v>0.05</v>
      </c>
      <c r="Q7" s="71">
        <v>2451</v>
      </c>
      <c r="R7" s="218">
        <v>0.05</v>
      </c>
      <c r="S7" s="209">
        <f t="shared" ref="S7" si="1">Q7*P7/R7</f>
        <v>2451</v>
      </c>
      <c r="T7" s="209">
        <f>S7-Q7</f>
        <v>0</v>
      </c>
      <c r="V7" s="218">
        <f>S7-Q7</f>
        <v>0</v>
      </c>
      <c r="W7" s="150">
        <f t="shared" ref="W7" si="2">Q7-S7</f>
        <v>0</v>
      </c>
    </row>
    <row r="8" spans="1:23" ht="30" customHeight="1">
      <c r="A8" s="214" t="s">
        <v>101</v>
      </c>
      <c r="B8" s="177"/>
      <c r="C8" s="109"/>
      <c r="D8" s="80">
        <f>0+105783571</f>
        <v>105783571</v>
      </c>
      <c r="E8" s="71"/>
      <c r="F8" s="71">
        <v>0</v>
      </c>
      <c r="G8" s="71"/>
      <c r="H8" s="71">
        <f t="shared" ref="H8:H71" si="3">D8+F8</f>
        <v>105783571</v>
      </c>
      <c r="I8" s="71"/>
      <c r="J8" s="71">
        <f>35948+8573679948</f>
        <v>8573715896</v>
      </c>
      <c r="K8" s="71"/>
      <c r="L8" s="71">
        <v>0</v>
      </c>
      <c r="M8" s="71"/>
      <c r="N8" s="71">
        <f t="shared" ref="N8:N71" si="4">J8+L8</f>
        <v>8573715896</v>
      </c>
      <c r="O8" s="71" t="str">
        <f t="shared" ref="O8:O40" si="5">A8</f>
        <v>مسکن کوتاه مدت	-310058720239</v>
      </c>
      <c r="P8" s="88">
        <v>0.05</v>
      </c>
      <c r="Q8" s="71">
        <v>0</v>
      </c>
      <c r="R8" s="218">
        <v>0.05</v>
      </c>
      <c r="S8" s="209">
        <f t="shared" ref="S8:S13" si="6">Q8*P8/R8</f>
        <v>0</v>
      </c>
      <c r="T8" s="209">
        <f t="shared" ref="T8:T72" si="7">S8-Q8</f>
        <v>0</v>
      </c>
      <c r="V8" s="218">
        <f t="shared" ref="V8:V13" si="8">S8-Q8</f>
        <v>0</v>
      </c>
      <c r="W8" s="150">
        <f t="shared" ref="W8:W40" si="9">Q8-S8</f>
        <v>0</v>
      </c>
    </row>
    <row r="9" spans="1:23" ht="30" customHeight="1">
      <c r="A9" s="214" t="s">
        <v>176</v>
      </c>
      <c r="B9" s="177"/>
      <c r="C9" s="109"/>
      <c r="D9" s="80">
        <v>0</v>
      </c>
      <c r="E9" s="71"/>
      <c r="F9" s="71">
        <v>0</v>
      </c>
      <c r="G9" s="71"/>
      <c r="H9" s="71">
        <f t="shared" si="3"/>
        <v>0</v>
      </c>
      <c r="I9" s="71"/>
      <c r="J9" s="71">
        <v>1134246556.2616823</v>
      </c>
      <c r="K9" s="71"/>
      <c r="L9" s="71">
        <v>-1185484</v>
      </c>
      <c r="M9" s="71"/>
      <c r="N9" s="71">
        <f t="shared" si="4"/>
        <v>1133061072.2616823</v>
      </c>
      <c r="O9" s="71" t="str">
        <f t="shared" si="5"/>
        <v>مسکن 5600931334165</v>
      </c>
      <c r="P9" s="287">
        <v>0.22500000000000001</v>
      </c>
      <c r="Q9" s="71">
        <v>0</v>
      </c>
      <c r="R9" s="218">
        <v>0.26750000000000002</v>
      </c>
      <c r="S9" s="209">
        <f t="shared" si="6"/>
        <v>0</v>
      </c>
      <c r="T9" s="209">
        <f t="shared" si="7"/>
        <v>0</v>
      </c>
      <c r="V9" s="218">
        <f t="shared" si="8"/>
        <v>0</v>
      </c>
      <c r="W9" s="150">
        <f t="shared" si="9"/>
        <v>0</v>
      </c>
    </row>
    <row r="10" spans="1:23" s="109" customFormat="1" ht="30.75" customHeight="1" thickBot="1">
      <c r="A10" s="214" t="s">
        <v>113</v>
      </c>
      <c r="B10" s="177"/>
      <c r="D10" s="71">
        <v>0</v>
      </c>
      <c r="E10" s="71"/>
      <c r="F10" s="71">
        <v>0</v>
      </c>
      <c r="G10" s="71"/>
      <c r="H10" s="71">
        <f t="shared" si="3"/>
        <v>0</v>
      </c>
      <c r="I10" s="71"/>
      <c r="J10" s="71">
        <v>10554357.980769232</v>
      </c>
      <c r="K10" s="71"/>
      <c r="L10" s="71">
        <v>0</v>
      </c>
      <c r="M10" s="71"/>
      <c r="N10" s="71">
        <f t="shared" si="4"/>
        <v>10554357.980769232</v>
      </c>
      <c r="O10" s="278" t="str">
        <f>A10</f>
        <v>مسکن 5600931334082</v>
      </c>
      <c r="P10" s="287">
        <v>0.22500000000000001</v>
      </c>
      <c r="Q10" s="71">
        <v>0</v>
      </c>
      <c r="R10" s="225">
        <v>0.26</v>
      </c>
      <c r="S10" s="209">
        <f t="shared" si="6"/>
        <v>0</v>
      </c>
      <c r="T10" s="209">
        <f t="shared" si="7"/>
        <v>0</v>
      </c>
      <c r="U10" s="209"/>
      <c r="V10" s="218">
        <f t="shared" si="8"/>
        <v>0</v>
      </c>
      <c r="W10" s="150">
        <f t="shared" si="9"/>
        <v>0</v>
      </c>
    </row>
    <row r="11" spans="1:23" s="109" customFormat="1" ht="30.75" customHeight="1" thickBot="1">
      <c r="A11" s="214" t="s">
        <v>115</v>
      </c>
      <c r="B11" s="177"/>
      <c r="D11" s="203">
        <v>0</v>
      </c>
      <c r="E11" s="71"/>
      <c r="F11" s="71">
        <v>0</v>
      </c>
      <c r="G11" s="71"/>
      <c r="H11" s="71">
        <f t="shared" si="3"/>
        <v>0</v>
      </c>
      <c r="I11" s="71"/>
      <c r="J11" s="71">
        <v>13592275.961538462</v>
      </c>
      <c r="K11" s="71"/>
      <c r="L11" s="71">
        <v>0</v>
      </c>
      <c r="M11" s="71"/>
      <c r="N11" s="71">
        <f t="shared" si="4"/>
        <v>13592275.961538462</v>
      </c>
      <c r="O11" s="278" t="str">
        <f>A11</f>
        <v>مسکن 5600931334074</v>
      </c>
      <c r="P11" s="287">
        <v>0.22500000000000001</v>
      </c>
      <c r="Q11" s="71">
        <v>0</v>
      </c>
      <c r="R11" s="225">
        <v>0.26</v>
      </c>
      <c r="S11" s="209">
        <f t="shared" si="6"/>
        <v>0</v>
      </c>
      <c r="T11" s="209">
        <f t="shared" si="7"/>
        <v>0</v>
      </c>
      <c r="U11" s="209"/>
      <c r="V11" s="218">
        <f t="shared" si="8"/>
        <v>0</v>
      </c>
      <c r="W11" s="150">
        <f t="shared" si="9"/>
        <v>0</v>
      </c>
    </row>
    <row r="12" spans="1:23" s="109" customFormat="1" ht="30.75" customHeight="1" thickBot="1">
      <c r="A12" s="214" t="s">
        <v>179</v>
      </c>
      <c r="B12" s="177"/>
      <c r="D12" s="71">
        <v>0</v>
      </c>
      <c r="E12" s="71"/>
      <c r="F12" s="71">
        <v>0</v>
      </c>
      <c r="G12" s="71"/>
      <c r="H12" s="71">
        <f t="shared" si="3"/>
        <v>0</v>
      </c>
      <c r="I12" s="71"/>
      <c r="J12" s="71">
        <v>11624457203.831776</v>
      </c>
      <c r="K12" s="71"/>
      <c r="L12" s="71">
        <v>0</v>
      </c>
      <c r="M12" s="71"/>
      <c r="N12" s="71">
        <f t="shared" si="4"/>
        <v>11624457203.831776</v>
      </c>
      <c r="O12" s="278" t="str">
        <f t="shared" si="5"/>
        <v>مسکن 5600929335463</v>
      </c>
      <c r="P12" s="287">
        <v>0.22500000000000001</v>
      </c>
      <c r="Q12" s="71">
        <v>0</v>
      </c>
      <c r="R12" s="227">
        <v>0.26750000000000002</v>
      </c>
      <c r="S12" s="209">
        <f t="shared" si="6"/>
        <v>0</v>
      </c>
      <c r="T12" s="209">
        <f t="shared" si="7"/>
        <v>0</v>
      </c>
      <c r="U12" s="209"/>
      <c r="V12" s="209">
        <f t="shared" si="8"/>
        <v>0</v>
      </c>
      <c r="W12" s="150">
        <f t="shared" si="9"/>
        <v>0</v>
      </c>
    </row>
    <row r="13" spans="1:23" s="109" customFormat="1" ht="30.75" customHeight="1" thickBot="1">
      <c r="A13" s="214" t="s">
        <v>125</v>
      </c>
      <c r="B13" s="177"/>
      <c r="D13" s="203">
        <v>0</v>
      </c>
      <c r="E13" s="71"/>
      <c r="F13" s="71">
        <v>0</v>
      </c>
      <c r="G13" s="71"/>
      <c r="H13" s="71">
        <f t="shared" si="3"/>
        <v>0</v>
      </c>
      <c r="I13" s="71"/>
      <c r="J13" s="71">
        <v>3312018277.5862069</v>
      </c>
      <c r="K13" s="71"/>
      <c r="L13" s="71">
        <v>0</v>
      </c>
      <c r="M13" s="71"/>
      <c r="N13" s="71">
        <f t="shared" si="4"/>
        <v>3312018277.5862069</v>
      </c>
      <c r="O13" s="278" t="str">
        <f t="shared" si="5"/>
        <v>مسکن 5600929334698</v>
      </c>
      <c r="P13" s="93">
        <v>0.22500000000000001</v>
      </c>
      <c r="Q13" s="71">
        <v>0</v>
      </c>
      <c r="R13" s="218">
        <v>0.26100000000000001</v>
      </c>
      <c r="S13" s="209">
        <f t="shared" si="6"/>
        <v>0</v>
      </c>
      <c r="T13" s="209">
        <f t="shared" si="7"/>
        <v>0</v>
      </c>
      <c r="U13" s="209"/>
      <c r="V13" s="209">
        <f t="shared" si="8"/>
        <v>0</v>
      </c>
      <c r="W13" s="150">
        <f t="shared" si="9"/>
        <v>0</v>
      </c>
    </row>
    <row r="14" spans="1:23" ht="30" customHeight="1">
      <c r="A14" s="214" t="s">
        <v>123</v>
      </c>
      <c r="B14" s="177"/>
      <c r="C14" s="109"/>
      <c r="D14" s="80">
        <v>0</v>
      </c>
      <c r="E14" s="71"/>
      <c r="F14" s="71">
        <v>0</v>
      </c>
      <c r="G14" s="71"/>
      <c r="H14" s="71">
        <f t="shared" si="3"/>
        <v>0</v>
      </c>
      <c r="I14" s="71"/>
      <c r="J14" s="71">
        <v>2858263320.6896553</v>
      </c>
      <c r="K14" s="71"/>
      <c r="L14" s="71">
        <v>0</v>
      </c>
      <c r="M14" s="71"/>
      <c r="N14" s="71">
        <f t="shared" si="4"/>
        <v>2858263320.6896553</v>
      </c>
      <c r="O14" s="278" t="str">
        <f t="shared" si="5"/>
        <v>مسکن 5600929334672</v>
      </c>
      <c r="P14" s="93">
        <v>0.22500000000000001</v>
      </c>
      <c r="Q14" s="71">
        <v>0</v>
      </c>
      <c r="R14" s="218">
        <v>0.26100000000000001</v>
      </c>
      <c r="S14" s="209">
        <f t="shared" ref="S14:S21" si="10">Q14*P14/R14</f>
        <v>0</v>
      </c>
      <c r="T14" s="209">
        <f t="shared" si="7"/>
        <v>0</v>
      </c>
      <c r="V14" s="218">
        <f t="shared" ref="V14:V20" si="11">S14-Q14</f>
        <v>0</v>
      </c>
      <c r="W14" s="150">
        <f t="shared" si="9"/>
        <v>0</v>
      </c>
    </row>
    <row r="15" spans="1:23" s="109" customFormat="1" ht="30.75" customHeight="1" thickBot="1">
      <c r="A15" s="214" t="s">
        <v>280</v>
      </c>
      <c r="B15" s="177"/>
      <c r="D15" s="80">
        <v>84106143.75</v>
      </c>
      <c r="E15" s="71"/>
      <c r="F15" s="71">
        <v>0</v>
      </c>
      <c r="G15" s="71"/>
      <c r="H15" s="71">
        <f t="shared" si="3"/>
        <v>84106143.75</v>
      </c>
      <c r="I15" s="71"/>
      <c r="J15" s="71">
        <v>3967667780.2500005</v>
      </c>
      <c r="K15" s="71"/>
      <c r="L15" s="71">
        <v>0</v>
      </c>
      <c r="M15" s="71"/>
      <c r="N15" s="71">
        <f t="shared" si="4"/>
        <v>3967667780.2500005</v>
      </c>
      <c r="O15" s="71" t="str">
        <f>A15</f>
        <v>بانک مسکن 5600887334805</v>
      </c>
      <c r="P15" s="287">
        <v>0.22500000000000001</v>
      </c>
      <c r="Q15" s="71">
        <v>112141525</v>
      </c>
      <c r="R15" s="218">
        <v>0.3</v>
      </c>
      <c r="S15" s="209">
        <f>Q15*P15/R15</f>
        <v>84106143.75</v>
      </c>
      <c r="T15" s="209">
        <f>Q15-S15</f>
        <v>28035381.25</v>
      </c>
      <c r="U15" s="209"/>
      <c r="V15" s="218">
        <f>S15-Q15</f>
        <v>-28035381.25</v>
      </c>
      <c r="W15" s="150">
        <f>Q15-S15</f>
        <v>28035381.25</v>
      </c>
    </row>
    <row r="16" spans="1:23" s="109" customFormat="1" ht="30.75" customHeight="1" thickBot="1">
      <c r="A16" s="214" t="s">
        <v>281</v>
      </c>
      <c r="B16" s="177"/>
      <c r="D16" s="203">
        <v>233244570</v>
      </c>
      <c r="E16" s="71"/>
      <c r="F16" s="71">
        <v>0</v>
      </c>
      <c r="G16" s="71"/>
      <c r="H16" s="71">
        <f t="shared" si="3"/>
        <v>233244570</v>
      </c>
      <c r="I16" s="71"/>
      <c r="J16" s="71">
        <v>11550436336.500002</v>
      </c>
      <c r="K16" s="71"/>
      <c r="L16" s="71">
        <v>0</v>
      </c>
      <c r="M16" s="71"/>
      <c r="N16" s="71">
        <f t="shared" si="4"/>
        <v>11550436336.500002</v>
      </c>
      <c r="O16" s="71" t="str">
        <f>A16</f>
        <v>بانک مسکن 5600887334755</v>
      </c>
      <c r="P16" s="287">
        <v>0.22500000000000001</v>
      </c>
      <c r="Q16" s="71">
        <v>310992760</v>
      </c>
      <c r="R16" s="218">
        <v>0.3</v>
      </c>
      <c r="S16" s="209">
        <f>Q16*P16/R16</f>
        <v>233244570</v>
      </c>
      <c r="T16" s="209">
        <f>Q16-S16</f>
        <v>77748190</v>
      </c>
      <c r="U16" s="209">
        <f>T15+T16</f>
        <v>105783571.25</v>
      </c>
      <c r="V16" s="218">
        <f>S16-Q16</f>
        <v>-77748190</v>
      </c>
      <c r="W16" s="150">
        <f>Q16-S16</f>
        <v>77748190</v>
      </c>
    </row>
    <row r="17" spans="1:23" s="109" customFormat="1" ht="30.75" customHeight="1">
      <c r="A17" s="214" t="s">
        <v>105</v>
      </c>
      <c r="B17" s="177"/>
      <c r="D17" s="80">
        <v>10385</v>
      </c>
      <c r="E17" s="71"/>
      <c r="F17" s="71">
        <v>0</v>
      </c>
      <c r="G17" s="71"/>
      <c r="H17" s="71">
        <f t="shared" si="3"/>
        <v>10385</v>
      </c>
      <c r="I17" s="71"/>
      <c r="J17" s="71">
        <v>80252</v>
      </c>
      <c r="K17" s="71"/>
      <c r="L17" s="71">
        <v>0</v>
      </c>
      <c r="M17" s="71"/>
      <c r="N17" s="71">
        <f t="shared" si="4"/>
        <v>80252</v>
      </c>
      <c r="O17" s="278" t="str">
        <f t="shared" si="5"/>
        <v xml:space="preserve">سامان کوتاه مدت-86481039984291	</v>
      </c>
      <c r="P17" s="93">
        <v>0.22500000000000001</v>
      </c>
      <c r="Q17" s="71">
        <v>10385</v>
      </c>
      <c r="R17" s="218">
        <v>0.22500000000000001</v>
      </c>
      <c r="S17" s="209">
        <f t="shared" si="10"/>
        <v>10385</v>
      </c>
      <c r="T17" s="209">
        <f t="shared" si="7"/>
        <v>0</v>
      </c>
      <c r="U17" s="209"/>
      <c r="V17" s="218">
        <f t="shared" si="11"/>
        <v>0</v>
      </c>
      <c r="W17" s="150">
        <f t="shared" si="9"/>
        <v>0</v>
      </c>
    </row>
    <row r="18" spans="1:23" s="109" customFormat="1" ht="30.75" customHeight="1">
      <c r="A18" s="214" t="s">
        <v>114</v>
      </c>
      <c r="B18" s="177"/>
      <c r="D18" s="80">
        <v>1545</v>
      </c>
      <c r="E18" s="71"/>
      <c r="F18" s="71">
        <v>0</v>
      </c>
      <c r="G18" s="71"/>
      <c r="H18" s="71">
        <f t="shared" si="3"/>
        <v>1545</v>
      </c>
      <c r="I18" s="71"/>
      <c r="J18" s="175">
        <v>22120</v>
      </c>
      <c r="K18" s="71"/>
      <c r="L18" s="71">
        <v>0</v>
      </c>
      <c r="M18" s="71"/>
      <c r="N18" s="71">
        <f t="shared" si="4"/>
        <v>22120</v>
      </c>
      <c r="O18" s="278" t="str">
        <f t="shared" si="5"/>
        <v>رفاه کوتاه مدت 359490219</v>
      </c>
      <c r="P18" s="93">
        <v>0.22500000000000001</v>
      </c>
      <c r="Q18" s="71">
        <v>1545</v>
      </c>
      <c r="R18" s="218">
        <v>0.22500000000000001</v>
      </c>
      <c r="S18" s="209">
        <f>Q18*P18/R18</f>
        <v>1545</v>
      </c>
      <c r="T18" s="209">
        <f t="shared" si="7"/>
        <v>0</v>
      </c>
      <c r="U18" s="209"/>
      <c r="V18" s="218">
        <f t="shared" si="11"/>
        <v>0</v>
      </c>
      <c r="W18" s="150">
        <f t="shared" si="9"/>
        <v>0</v>
      </c>
    </row>
    <row r="19" spans="1:23" s="109" customFormat="1" ht="30.75" customHeight="1">
      <c r="A19" s="214" t="s">
        <v>146</v>
      </c>
      <c r="B19" s="177"/>
      <c r="D19" s="71">
        <v>5785</v>
      </c>
      <c r="E19" s="71"/>
      <c r="F19" s="71">
        <v>0</v>
      </c>
      <c r="G19" s="71"/>
      <c r="H19" s="71">
        <f t="shared" si="3"/>
        <v>5785</v>
      </c>
      <c r="I19" s="71"/>
      <c r="J19" s="175">
        <v>269390</v>
      </c>
      <c r="K19" s="71"/>
      <c r="L19" s="71">
        <v>0</v>
      </c>
      <c r="M19" s="71"/>
      <c r="N19" s="71">
        <f t="shared" si="4"/>
        <v>269390</v>
      </c>
      <c r="O19" s="278" t="str">
        <f t="shared" si="5"/>
        <v>تجارت کوتاه مدت 104458815</v>
      </c>
      <c r="P19" s="225">
        <v>0.05</v>
      </c>
      <c r="Q19" s="71">
        <v>5785</v>
      </c>
      <c r="R19" s="225">
        <v>0.05</v>
      </c>
      <c r="S19" s="209">
        <f t="shared" si="10"/>
        <v>5785</v>
      </c>
      <c r="T19" s="209">
        <f t="shared" si="7"/>
        <v>0</v>
      </c>
      <c r="U19" s="209"/>
      <c r="V19" s="218">
        <f t="shared" si="11"/>
        <v>0</v>
      </c>
      <c r="W19" s="150">
        <f t="shared" si="9"/>
        <v>0</v>
      </c>
    </row>
    <row r="20" spans="1:23" ht="30" customHeight="1">
      <c r="A20" s="214" t="s">
        <v>152</v>
      </c>
      <c r="B20" s="177"/>
      <c r="C20" s="109"/>
      <c r="D20" s="80">
        <v>0</v>
      </c>
      <c r="E20" s="71"/>
      <c r="F20" s="71">
        <v>0</v>
      </c>
      <c r="G20" s="71"/>
      <c r="H20" s="71">
        <f t="shared" si="3"/>
        <v>0</v>
      </c>
      <c r="I20" s="71"/>
      <c r="J20" s="71">
        <v>2568975880</v>
      </c>
      <c r="K20" s="71"/>
      <c r="L20" s="71">
        <v>0</v>
      </c>
      <c r="M20" s="71"/>
      <c r="N20" s="71">
        <f t="shared" si="4"/>
        <v>2568975880</v>
      </c>
      <c r="O20" s="278" t="str">
        <f t="shared" si="5"/>
        <v>تجارت بلندمدت 6174547090</v>
      </c>
      <c r="P20" s="225">
        <v>0.05</v>
      </c>
      <c r="Q20" s="71">
        <v>0</v>
      </c>
      <c r="R20" s="225">
        <v>0.05</v>
      </c>
      <c r="S20" s="209">
        <f t="shared" si="10"/>
        <v>0</v>
      </c>
      <c r="T20" s="209">
        <f t="shared" si="7"/>
        <v>0</v>
      </c>
      <c r="V20" s="218">
        <f t="shared" si="11"/>
        <v>0</v>
      </c>
      <c r="W20" s="150">
        <f t="shared" si="9"/>
        <v>0</v>
      </c>
    </row>
    <row r="21" spans="1:23" ht="30" customHeight="1">
      <c r="A21" s="214" t="s">
        <v>220</v>
      </c>
      <c r="B21" s="177"/>
      <c r="C21" s="109"/>
      <c r="D21" s="80">
        <v>3370</v>
      </c>
      <c r="E21" s="71"/>
      <c r="F21" s="71">
        <v>0</v>
      </c>
      <c r="G21" s="71"/>
      <c r="H21" s="71">
        <f t="shared" si="3"/>
        <v>3370</v>
      </c>
      <c r="I21" s="71"/>
      <c r="J21" s="71">
        <f>10068+3226123943</f>
        <v>3226134011</v>
      </c>
      <c r="K21" s="71"/>
      <c r="L21" s="71">
        <v>0</v>
      </c>
      <c r="M21" s="71"/>
      <c r="N21" s="71">
        <f t="shared" si="4"/>
        <v>3226134011</v>
      </c>
      <c r="O21" s="278" t="str">
        <f t="shared" si="5"/>
        <v>بانک تجارت کوتاه مدت 24845478</v>
      </c>
      <c r="P21" s="88">
        <v>0.05</v>
      </c>
      <c r="Q21" s="71">
        <v>3370</v>
      </c>
      <c r="R21" s="225">
        <v>0.05</v>
      </c>
      <c r="S21" s="209">
        <f t="shared" si="10"/>
        <v>3370</v>
      </c>
      <c r="T21" s="209">
        <f t="shared" si="7"/>
        <v>0</v>
      </c>
      <c r="V21" s="218">
        <f>S21-Q21</f>
        <v>0</v>
      </c>
      <c r="W21" s="150">
        <f t="shared" si="9"/>
        <v>0</v>
      </c>
    </row>
    <row r="22" spans="1:23" s="109" customFormat="1" ht="30.75" customHeight="1" thickBot="1">
      <c r="A22" s="214" t="s">
        <v>248</v>
      </c>
      <c r="B22" s="177"/>
      <c r="D22" s="80">
        <v>0</v>
      </c>
      <c r="E22" s="71"/>
      <c r="F22" s="71">
        <v>0</v>
      </c>
      <c r="G22" s="71"/>
      <c r="H22" s="71">
        <f t="shared" si="3"/>
        <v>0</v>
      </c>
      <c r="I22" s="71"/>
      <c r="J22" s="71">
        <v>6780821916.272727</v>
      </c>
      <c r="K22" s="71"/>
      <c r="L22" s="71">
        <v>0</v>
      </c>
      <c r="M22" s="71"/>
      <c r="N22" s="71">
        <f t="shared" si="4"/>
        <v>6780821916.272727</v>
      </c>
      <c r="O22" s="278" t="str">
        <f t="shared" si="5"/>
        <v>بانک تجارت 0479601842568</v>
      </c>
      <c r="P22" s="225">
        <v>0.05</v>
      </c>
      <c r="Q22" s="71">
        <v>0</v>
      </c>
      <c r="R22" s="225">
        <v>0.05</v>
      </c>
      <c r="S22" s="209">
        <f t="shared" ref="S22:S24" si="12">Q22*P22/R22</f>
        <v>0</v>
      </c>
      <c r="T22" s="209">
        <f t="shared" si="7"/>
        <v>0</v>
      </c>
      <c r="U22" s="209"/>
      <c r="V22" s="218">
        <f t="shared" ref="V22" si="13">S22-Q22</f>
        <v>0</v>
      </c>
      <c r="W22" s="150">
        <f t="shared" si="9"/>
        <v>0</v>
      </c>
    </row>
    <row r="23" spans="1:23" s="109" customFormat="1" ht="30.75" customHeight="1" thickBot="1">
      <c r="A23" s="214" t="s">
        <v>227</v>
      </c>
      <c r="B23" s="177"/>
      <c r="D23" s="203">
        <v>0</v>
      </c>
      <c r="E23" s="71"/>
      <c r="F23" s="71">
        <v>0</v>
      </c>
      <c r="G23" s="71"/>
      <c r="H23" s="71">
        <f t="shared" si="3"/>
        <v>0</v>
      </c>
      <c r="I23" s="71"/>
      <c r="J23" s="71">
        <v>5424657534</v>
      </c>
      <c r="K23" s="71"/>
      <c r="L23" s="71">
        <v>0</v>
      </c>
      <c r="M23" s="71"/>
      <c r="N23" s="71">
        <f t="shared" si="4"/>
        <v>5424657534</v>
      </c>
      <c r="O23" s="278" t="str">
        <f>A23</f>
        <v>بانک تجارت 0479601842490</v>
      </c>
      <c r="P23" s="93">
        <v>0.22500000000000001</v>
      </c>
      <c r="Q23" s="71">
        <v>0</v>
      </c>
      <c r="R23" s="218">
        <v>0.27500000000000002</v>
      </c>
      <c r="S23" s="209">
        <f>Q23*P23/R23</f>
        <v>0</v>
      </c>
      <c r="T23" s="209">
        <f>S23-Q23</f>
        <v>0</v>
      </c>
      <c r="U23" s="209"/>
      <c r="V23" s="218">
        <f>S23-Q23</f>
        <v>0</v>
      </c>
      <c r="W23" s="150">
        <f>Q23-S23</f>
        <v>0</v>
      </c>
    </row>
    <row r="24" spans="1:23" s="109" customFormat="1" ht="30.75" customHeight="1" thickBot="1">
      <c r="A24" s="214" t="s">
        <v>145</v>
      </c>
      <c r="B24" s="177"/>
      <c r="D24" s="80">
        <v>0</v>
      </c>
      <c r="E24" s="71"/>
      <c r="F24" s="71">
        <v>0</v>
      </c>
      <c r="G24" s="71"/>
      <c r="H24" s="71">
        <f t="shared" si="3"/>
        <v>0</v>
      </c>
      <c r="I24" s="71"/>
      <c r="J24" s="71">
        <f>35258+8683988134</f>
        <v>8684023392</v>
      </c>
      <c r="K24" s="71"/>
      <c r="L24" s="71">
        <v>0</v>
      </c>
      <c r="M24" s="71"/>
      <c r="N24" s="71">
        <f t="shared" si="4"/>
        <v>8684023392</v>
      </c>
      <c r="O24" s="71" t="str">
        <f t="shared" si="5"/>
        <v xml:space="preserve">پاسارگاد کوتاه مدت 2098100152272681	</v>
      </c>
      <c r="P24" s="88">
        <v>0.05</v>
      </c>
      <c r="Q24" s="71">
        <v>0</v>
      </c>
      <c r="R24" s="218">
        <v>0.05</v>
      </c>
      <c r="S24" s="209">
        <f t="shared" si="12"/>
        <v>0</v>
      </c>
      <c r="T24" s="209">
        <f t="shared" si="7"/>
        <v>0</v>
      </c>
      <c r="U24" s="209"/>
      <c r="V24" s="218">
        <f>S24-Q24</f>
        <v>0</v>
      </c>
      <c r="W24" s="150">
        <f t="shared" si="9"/>
        <v>0</v>
      </c>
    </row>
    <row r="25" spans="1:23" s="109" customFormat="1" ht="30.75" customHeight="1" thickBot="1">
      <c r="A25" s="214" t="s">
        <v>153</v>
      </c>
      <c r="B25" s="177"/>
      <c r="D25" s="203">
        <v>0</v>
      </c>
      <c r="E25" s="71"/>
      <c r="F25" s="71">
        <v>0</v>
      </c>
      <c r="G25" s="71"/>
      <c r="H25" s="71">
        <f t="shared" si="3"/>
        <v>0</v>
      </c>
      <c r="I25" s="71"/>
      <c r="J25" s="71">
        <v>2904567523.3333335</v>
      </c>
      <c r="K25" s="71"/>
      <c r="L25" s="71">
        <v>0</v>
      </c>
      <c r="M25" s="71"/>
      <c r="N25" s="71">
        <f t="shared" si="4"/>
        <v>2904567523.3333335</v>
      </c>
      <c r="O25" s="278" t="str">
        <f t="shared" si="5"/>
        <v>پاسارگاد 2093071522726817</v>
      </c>
      <c r="P25" s="93">
        <v>0.22500000000000001</v>
      </c>
      <c r="Q25" s="71">
        <v>0</v>
      </c>
      <c r="R25" s="218">
        <v>0.27</v>
      </c>
      <c r="S25" s="209">
        <f>Q25*P25/R25</f>
        <v>0</v>
      </c>
      <c r="T25" s="209">
        <f t="shared" si="7"/>
        <v>0</v>
      </c>
      <c r="U25" s="209"/>
      <c r="V25" s="218">
        <f t="shared" ref="V25:V30" si="14">S25-Q25</f>
        <v>0</v>
      </c>
      <c r="W25" s="150">
        <f t="shared" si="9"/>
        <v>0</v>
      </c>
    </row>
    <row r="26" spans="1:23" s="109" customFormat="1" ht="30.75" customHeight="1" thickBot="1">
      <c r="A26" s="214" t="s">
        <v>148</v>
      </c>
      <c r="B26" s="177"/>
      <c r="D26" s="203">
        <v>0</v>
      </c>
      <c r="E26" s="71"/>
      <c r="F26" s="71">
        <v>0</v>
      </c>
      <c r="G26" s="71"/>
      <c r="H26" s="71">
        <f t="shared" si="3"/>
        <v>0</v>
      </c>
      <c r="I26" s="71"/>
      <c r="J26" s="71">
        <v>1208835618.3333333</v>
      </c>
      <c r="K26" s="71"/>
      <c r="L26" s="71">
        <v>0</v>
      </c>
      <c r="M26" s="71"/>
      <c r="N26" s="71">
        <f t="shared" si="4"/>
        <v>1208835618.3333333</v>
      </c>
      <c r="O26" s="278" t="str">
        <f t="shared" si="5"/>
        <v>پاسارگاد 2093071522726816</v>
      </c>
      <c r="P26" s="287">
        <v>0.22500000000000001</v>
      </c>
      <c r="Q26" s="71">
        <v>0</v>
      </c>
      <c r="R26" s="225">
        <v>0.27</v>
      </c>
      <c r="S26" s="209">
        <f t="shared" ref="S26:S30" si="15">Q26*P26/R26</f>
        <v>0</v>
      </c>
      <c r="T26" s="209">
        <f t="shared" si="7"/>
        <v>0</v>
      </c>
      <c r="U26" s="209"/>
      <c r="V26" s="218">
        <f t="shared" si="14"/>
        <v>0</v>
      </c>
      <c r="W26" s="150">
        <f t="shared" si="9"/>
        <v>0</v>
      </c>
    </row>
    <row r="27" spans="1:23" s="109" customFormat="1" ht="30.75" customHeight="1" thickBot="1">
      <c r="A27" s="214" t="s">
        <v>133</v>
      </c>
      <c r="B27" s="177"/>
      <c r="D27" s="203">
        <v>0</v>
      </c>
      <c r="E27" s="71"/>
      <c r="F27" s="71">
        <v>0</v>
      </c>
      <c r="G27" s="71"/>
      <c r="H27" s="71">
        <f t="shared" si="3"/>
        <v>0</v>
      </c>
      <c r="I27" s="71"/>
      <c r="J27" s="71">
        <v>883561645</v>
      </c>
      <c r="K27" s="71"/>
      <c r="L27" s="71">
        <v>0</v>
      </c>
      <c r="M27" s="71"/>
      <c r="N27" s="71">
        <f t="shared" si="4"/>
        <v>883561645</v>
      </c>
      <c r="O27" s="278" t="str">
        <f t="shared" si="5"/>
        <v>پاسارگاد 2093071522726814</v>
      </c>
      <c r="P27" s="287">
        <v>0.22500000000000001</v>
      </c>
      <c r="Q27" s="71">
        <v>0</v>
      </c>
      <c r="R27" s="225">
        <v>0.27</v>
      </c>
      <c r="S27" s="209">
        <f t="shared" si="15"/>
        <v>0</v>
      </c>
      <c r="T27" s="209">
        <f t="shared" si="7"/>
        <v>0</v>
      </c>
      <c r="U27" s="209"/>
      <c r="V27" s="218">
        <f t="shared" si="14"/>
        <v>0</v>
      </c>
      <c r="W27" s="150">
        <f t="shared" si="9"/>
        <v>0</v>
      </c>
    </row>
    <row r="28" spans="1:23" s="109" customFormat="1" ht="30.75" customHeight="1" thickBot="1">
      <c r="A28" s="214" t="s">
        <v>134</v>
      </c>
      <c r="B28" s="177"/>
      <c r="D28" s="71">
        <v>0</v>
      </c>
      <c r="E28" s="71"/>
      <c r="F28" s="71">
        <v>0</v>
      </c>
      <c r="G28" s="71"/>
      <c r="H28" s="71">
        <f t="shared" si="3"/>
        <v>0</v>
      </c>
      <c r="I28" s="71"/>
      <c r="J28" s="71">
        <v>140235401.03773585</v>
      </c>
      <c r="K28" s="71"/>
      <c r="L28" s="71">
        <v>0</v>
      </c>
      <c r="M28" s="71"/>
      <c r="N28" s="71">
        <f t="shared" si="4"/>
        <v>140235401.03773585</v>
      </c>
      <c r="O28" s="285" t="str">
        <f t="shared" si="5"/>
        <v>پاسارگاد 2093071522726813</v>
      </c>
      <c r="P28" s="93">
        <v>0.22500000000000001</v>
      </c>
      <c r="Q28" s="71">
        <v>0</v>
      </c>
      <c r="R28" s="225">
        <v>0.26500000000000001</v>
      </c>
      <c r="S28" s="209">
        <f t="shared" si="15"/>
        <v>0</v>
      </c>
      <c r="T28" s="209">
        <f t="shared" si="7"/>
        <v>0</v>
      </c>
      <c r="U28" s="209"/>
      <c r="V28" s="218">
        <f t="shared" si="14"/>
        <v>0</v>
      </c>
      <c r="W28" s="150">
        <f t="shared" si="9"/>
        <v>0</v>
      </c>
    </row>
    <row r="29" spans="1:23" s="109" customFormat="1" ht="30.75" customHeight="1" thickBot="1">
      <c r="A29" s="214" t="s">
        <v>150</v>
      </c>
      <c r="B29" s="177"/>
      <c r="D29" s="203">
        <v>0</v>
      </c>
      <c r="E29" s="71"/>
      <c r="F29" s="71">
        <v>0</v>
      </c>
      <c r="G29" s="71"/>
      <c r="H29" s="71">
        <f t="shared" si="3"/>
        <v>0</v>
      </c>
      <c r="I29" s="71"/>
      <c r="J29" s="71">
        <v>40068495</v>
      </c>
      <c r="K29" s="71"/>
      <c r="L29" s="71">
        <v>0</v>
      </c>
      <c r="M29" s="71"/>
      <c r="N29" s="71">
        <f t="shared" si="4"/>
        <v>40068495</v>
      </c>
      <c r="O29" s="278" t="str">
        <f t="shared" si="5"/>
        <v>پاسارگاد 209306152272683</v>
      </c>
      <c r="P29" s="93">
        <v>0.22500000000000001</v>
      </c>
      <c r="Q29" s="71">
        <v>0</v>
      </c>
      <c r="R29" s="218">
        <v>0.26500000000000001</v>
      </c>
      <c r="S29" s="209">
        <f t="shared" si="15"/>
        <v>0</v>
      </c>
      <c r="T29" s="209">
        <f t="shared" si="7"/>
        <v>0</v>
      </c>
      <c r="U29" s="209"/>
      <c r="V29" s="218">
        <f t="shared" si="14"/>
        <v>0</v>
      </c>
      <c r="W29" s="150">
        <f t="shared" si="9"/>
        <v>0</v>
      </c>
    </row>
    <row r="30" spans="1:23" s="109" customFormat="1" ht="30.75" customHeight="1" thickBot="1">
      <c r="A30" s="214" t="s">
        <v>136</v>
      </c>
      <c r="B30" s="177"/>
      <c r="D30" s="203">
        <v>0</v>
      </c>
      <c r="E30" s="71"/>
      <c r="F30" s="71">
        <v>0</v>
      </c>
      <c r="G30" s="71"/>
      <c r="H30" s="71">
        <f t="shared" si="3"/>
        <v>0</v>
      </c>
      <c r="I30" s="71"/>
      <c r="J30" s="71">
        <v>51828902.830188677</v>
      </c>
      <c r="K30" s="71"/>
      <c r="L30" s="71">
        <v>0</v>
      </c>
      <c r="M30" s="71"/>
      <c r="N30" s="71">
        <f t="shared" si="4"/>
        <v>51828902.830188677</v>
      </c>
      <c r="O30" s="278" t="str">
        <f t="shared" si="5"/>
        <v>پاسارگاد 209306152272682</v>
      </c>
      <c r="P30" s="93">
        <v>0.22500000000000001</v>
      </c>
      <c r="Q30" s="71">
        <v>0</v>
      </c>
      <c r="R30" s="225">
        <v>0.26500000000000001</v>
      </c>
      <c r="S30" s="209">
        <f t="shared" si="15"/>
        <v>0</v>
      </c>
      <c r="T30" s="209">
        <f t="shared" si="7"/>
        <v>0</v>
      </c>
      <c r="U30" s="209"/>
      <c r="V30" s="218">
        <f t="shared" si="14"/>
        <v>0</v>
      </c>
      <c r="W30" s="150">
        <f t="shared" si="9"/>
        <v>0</v>
      </c>
    </row>
    <row r="31" spans="1:23" s="109" customFormat="1" ht="30.75" customHeight="1" thickBot="1">
      <c r="A31" s="214" t="s">
        <v>135</v>
      </c>
      <c r="B31" s="177"/>
      <c r="D31" s="80">
        <v>0</v>
      </c>
      <c r="E31" s="71"/>
      <c r="F31" s="71">
        <v>0</v>
      </c>
      <c r="G31" s="71"/>
      <c r="H31" s="71">
        <f t="shared" si="3"/>
        <v>0</v>
      </c>
      <c r="I31" s="71"/>
      <c r="J31" s="71">
        <v>80136988.301886797</v>
      </c>
      <c r="K31" s="71"/>
      <c r="L31" s="71">
        <v>0</v>
      </c>
      <c r="M31" s="71"/>
      <c r="N31" s="71">
        <f t="shared" si="4"/>
        <v>80136988.301886797</v>
      </c>
      <c r="O31" s="278" t="str">
        <f>A31</f>
        <v>پاسارگاد- 2093071522726815</v>
      </c>
      <c r="P31" s="93">
        <v>0.22500000000000001</v>
      </c>
      <c r="Q31" s="71">
        <v>0</v>
      </c>
      <c r="R31" s="225">
        <v>0.26500000000000001</v>
      </c>
      <c r="S31" s="209">
        <f>Q31*P31/R31</f>
        <v>0</v>
      </c>
      <c r="T31" s="209">
        <f t="shared" si="7"/>
        <v>0</v>
      </c>
      <c r="U31" s="209"/>
      <c r="V31" s="218">
        <f t="shared" ref="V31:V62" si="16">S31-Q31</f>
        <v>0</v>
      </c>
      <c r="W31" s="150">
        <f t="shared" si="9"/>
        <v>0</v>
      </c>
    </row>
    <row r="32" spans="1:23" s="109" customFormat="1" ht="30.75" customHeight="1" thickBot="1">
      <c r="A32" s="214" t="s">
        <v>340</v>
      </c>
      <c r="B32" s="177"/>
      <c r="D32" s="203">
        <v>0</v>
      </c>
      <c r="E32" s="71"/>
      <c r="F32" s="71">
        <v>0</v>
      </c>
      <c r="G32" s="71"/>
      <c r="H32" s="71">
        <f t="shared" si="3"/>
        <v>0</v>
      </c>
      <c r="I32" s="71"/>
      <c r="J32" s="71">
        <v>3474650956.5000005</v>
      </c>
      <c r="K32" s="71"/>
      <c r="L32" s="71">
        <v>0</v>
      </c>
      <c r="M32" s="71"/>
      <c r="N32" s="71">
        <f t="shared" si="4"/>
        <v>3474650956.5000005</v>
      </c>
      <c r="O32" s="278" t="str">
        <f>A32</f>
        <v>بانک پاسارگاد 2093071522726819</v>
      </c>
      <c r="P32" s="287">
        <v>0.22500000000000001</v>
      </c>
      <c r="Q32" s="71">
        <v>0</v>
      </c>
      <c r="R32" s="218">
        <v>0.3</v>
      </c>
      <c r="S32" s="209">
        <f>Q32*P32/R32</f>
        <v>0</v>
      </c>
      <c r="T32" s="209">
        <f t="shared" si="7"/>
        <v>0</v>
      </c>
      <c r="U32" s="209"/>
      <c r="V32" s="218">
        <f t="shared" si="16"/>
        <v>0</v>
      </c>
      <c r="W32" s="150">
        <f t="shared" si="9"/>
        <v>0</v>
      </c>
    </row>
    <row r="33" spans="1:23" s="109" customFormat="1" ht="30.75" customHeight="1" thickBot="1">
      <c r="A33" s="214" t="s">
        <v>254</v>
      </c>
      <c r="B33" s="177"/>
      <c r="D33" s="203">
        <v>0</v>
      </c>
      <c r="E33" s="71"/>
      <c r="F33" s="71">
        <v>0</v>
      </c>
      <c r="G33" s="71"/>
      <c r="H33" s="71">
        <f t="shared" si="3"/>
        <v>0</v>
      </c>
      <c r="I33" s="71"/>
      <c r="J33" s="71">
        <v>24265738358.684216</v>
      </c>
      <c r="K33" s="71"/>
      <c r="L33" s="71">
        <v>0</v>
      </c>
      <c r="M33" s="71"/>
      <c r="N33" s="71">
        <f t="shared" si="4"/>
        <v>24265738358.684216</v>
      </c>
      <c r="O33" s="278" t="str">
        <f t="shared" si="5"/>
        <v>بانک پاسارگاد 2093071522726818</v>
      </c>
      <c r="P33" s="93">
        <v>0.22500000000000001</v>
      </c>
      <c r="Q33" s="71">
        <v>0</v>
      </c>
      <c r="R33" s="218">
        <v>0.28499999999999998</v>
      </c>
      <c r="S33" s="209">
        <f>Q33*P33/R33</f>
        <v>0</v>
      </c>
      <c r="T33" s="209">
        <f t="shared" si="7"/>
        <v>0</v>
      </c>
      <c r="U33" s="209"/>
      <c r="V33" s="218">
        <f t="shared" si="16"/>
        <v>0</v>
      </c>
      <c r="W33" s="150">
        <f t="shared" si="9"/>
        <v>0</v>
      </c>
    </row>
    <row r="34" spans="1:23" s="109" customFormat="1" ht="30.75" customHeight="1" thickBot="1">
      <c r="A34" s="214" t="s">
        <v>151</v>
      </c>
      <c r="B34" s="177"/>
      <c r="D34" s="203">
        <v>0</v>
      </c>
      <c r="E34" s="71"/>
      <c r="F34" s="71">
        <v>0</v>
      </c>
      <c r="G34" s="71"/>
      <c r="H34" s="71">
        <f t="shared" si="3"/>
        <v>0</v>
      </c>
      <c r="I34" s="71"/>
      <c r="J34" s="71">
        <v>920809462.92452824</v>
      </c>
      <c r="K34" s="71"/>
      <c r="L34" s="71">
        <v>0</v>
      </c>
      <c r="M34" s="71"/>
      <c r="N34" s="71">
        <f t="shared" si="4"/>
        <v>920809462.92452824</v>
      </c>
      <c r="O34" s="278" t="str">
        <f t="shared" si="5"/>
        <v>بانک صادرات 0406996080002</v>
      </c>
      <c r="P34" s="93">
        <v>0.22500000000000001</v>
      </c>
      <c r="Q34" s="71">
        <v>0</v>
      </c>
      <c r="R34" s="218">
        <v>0.26500000000000001</v>
      </c>
      <c r="S34" s="209">
        <f t="shared" ref="S34:S90" si="17">Q34*P34/R34</f>
        <v>0</v>
      </c>
      <c r="T34" s="209">
        <f t="shared" si="7"/>
        <v>0</v>
      </c>
      <c r="U34" s="209"/>
      <c r="V34" s="218">
        <f t="shared" si="16"/>
        <v>0</v>
      </c>
      <c r="W34" s="150">
        <f t="shared" si="9"/>
        <v>0</v>
      </c>
    </row>
    <row r="35" spans="1:23" s="109" customFormat="1" ht="30.75" customHeight="1">
      <c r="A35" s="214" t="s">
        <v>107</v>
      </c>
      <c r="B35" s="177"/>
      <c r="D35" s="80">
        <v>5501</v>
      </c>
      <c r="E35" s="71"/>
      <c r="F35" s="71">
        <v>0</v>
      </c>
      <c r="G35" s="71"/>
      <c r="H35" s="71">
        <f t="shared" si="3"/>
        <v>5501</v>
      </c>
      <c r="I35" s="71"/>
      <c r="J35" s="71">
        <f>49192+163699460</f>
        <v>163748652</v>
      </c>
      <c r="K35" s="71"/>
      <c r="L35" s="71">
        <v>0</v>
      </c>
      <c r="M35" s="71"/>
      <c r="N35" s="71">
        <f t="shared" si="4"/>
        <v>163748652</v>
      </c>
      <c r="O35" s="278" t="str">
        <f>A35</f>
        <v>صادرات کوتاه مدت-0217918818004</v>
      </c>
      <c r="P35" s="93">
        <v>0.22500000000000001</v>
      </c>
      <c r="Q35" s="71">
        <v>5501</v>
      </c>
      <c r="R35" s="218">
        <v>0.22500000000000001</v>
      </c>
      <c r="S35" s="209">
        <f>Q35*P35/R35</f>
        <v>5501.0000000000009</v>
      </c>
      <c r="T35" s="209">
        <f>S35-Q35</f>
        <v>0</v>
      </c>
      <c r="U35" s="209"/>
      <c r="V35" s="218">
        <f t="shared" si="16"/>
        <v>0</v>
      </c>
      <c r="W35" s="150">
        <f>Q35-S35</f>
        <v>0</v>
      </c>
    </row>
    <row r="36" spans="1:23" s="109" customFormat="1" ht="30.75" customHeight="1">
      <c r="A36" s="214" t="s">
        <v>171</v>
      </c>
      <c r="B36" s="177"/>
      <c r="D36" s="80">
        <v>107961</v>
      </c>
      <c r="E36" s="71"/>
      <c r="F36" s="71">
        <v>0</v>
      </c>
      <c r="G36" s="71"/>
      <c r="H36" s="71">
        <f t="shared" si="3"/>
        <v>107961</v>
      </c>
      <c r="I36" s="71"/>
      <c r="J36" s="175">
        <v>296038976</v>
      </c>
      <c r="K36" s="71"/>
      <c r="L36" s="71">
        <v>0</v>
      </c>
      <c r="M36" s="71"/>
      <c r="N36" s="71">
        <f t="shared" si="4"/>
        <v>296038976</v>
      </c>
      <c r="O36" s="278" t="str">
        <f t="shared" si="5"/>
        <v>بانک شهر کوتاه مدت 7001003242019</v>
      </c>
      <c r="P36" s="93">
        <v>0.05</v>
      </c>
      <c r="Q36" s="71">
        <v>107961</v>
      </c>
      <c r="R36" s="218">
        <v>0.05</v>
      </c>
      <c r="S36" s="209">
        <f t="shared" si="17"/>
        <v>107961</v>
      </c>
      <c r="T36" s="209">
        <f t="shared" si="7"/>
        <v>0</v>
      </c>
      <c r="U36" s="209"/>
      <c r="V36" s="218">
        <f t="shared" si="16"/>
        <v>0</v>
      </c>
      <c r="W36" s="150">
        <f t="shared" si="9"/>
        <v>0</v>
      </c>
    </row>
    <row r="37" spans="1:23" s="109" customFormat="1" ht="30.75" customHeight="1" thickBot="1">
      <c r="A37" s="214" t="s">
        <v>283</v>
      </c>
      <c r="B37" s="177"/>
      <c r="D37" s="80">
        <v>0</v>
      </c>
      <c r="E37" s="71"/>
      <c r="F37" s="71">
        <v>0</v>
      </c>
      <c r="G37" s="71"/>
      <c r="H37" s="71">
        <f t="shared" si="3"/>
        <v>0</v>
      </c>
      <c r="I37" s="71"/>
      <c r="J37" s="71">
        <v>118442467</v>
      </c>
      <c r="K37" s="71"/>
      <c r="L37" s="71">
        <v>0</v>
      </c>
      <c r="M37" s="71"/>
      <c r="N37" s="71">
        <f t="shared" si="4"/>
        <v>118442467</v>
      </c>
      <c r="O37" s="278" t="str">
        <f t="shared" si="5"/>
        <v>بانک شهر 7001003694393</v>
      </c>
      <c r="P37" s="93">
        <v>0.22500000000000001</v>
      </c>
      <c r="Q37" s="71">
        <v>935175515</v>
      </c>
      <c r="R37" s="218">
        <v>0.22500000000000001</v>
      </c>
      <c r="S37" s="209">
        <f t="shared" si="17"/>
        <v>935175515</v>
      </c>
      <c r="T37" s="209">
        <f t="shared" si="7"/>
        <v>0</v>
      </c>
      <c r="U37" s="209"/>
      <c r="V37" s="218">
        <f t="shared" si="16"/>
        <v>0</v>
      </c>
      <c r="W37" s="150">
        <f t="shared" si="9"/>
        <v>0</v>
      </c>
    </row>
    <row r="38" spans="1:23" s="109" customFormat="1" ht="30.75" customHeight="1" thickBot="1">
      <c r="A38" s="214" t="s">
        <v>284</v>
      </c>
      <c r="B38" s="177"/>
      <c r="D38" s="203">
        <v>0</v>
      </c>
      <c r="E38" s="71"/>
      <c r="F38" s="71">
        <v>0</v>
      </c>
      <c r="G38" s="71"/>
      <c r="H38" s="71">
        <f t="shared" si="3"/>
        <v>0</v>
      </c>
      <c r="I38" s="71"/>
      <c r="J38" s="71">
        <v>546622397</v>
      </c>
      <c r="K38" s="71"/>
      <c r="L38" s="71">
        <v>0</v>
      </c>
      <c r="M38" s="71"/>
      <c r="N38" s="71">
        <f t="shared" si="4"/>
        <v>546622397</v>
      </c>
      <c r="O38" s="278" t="str">
        <f t="shared" si="5"/>
        <v>بانک شهر 7001003694376</v>
      </c>
      <c r="P38" s="93">
        <v>0.22500000000000001</v>
      </c>
      <c r="Q38" s="71">
        <v>0</v>
      </c>
      <c r="R38" s="218">
        <v>0.22500000000000001</v>
      </c>
      <c r="S38" s="209">
        <f t="shared" si="17"/>
        <v>0</v>
      </c>
      <c r="T38" s="209">
        <f t="shared" si="7"/>
        <v>0</v>
      </c>
      <c r="U38" s="209"/>
      <c r="V38" s="218">
        <f t="shared" si="16"/>
        <v>0</v>
      </c>
      <c r="W38" s="150">
        <f t="shared" si="9"/>
        <v>0</v>
      </c>
    </row>
    <row r="39" spans="1:23" s="109" customFormat="1" ht="30.75" customHeight="1">
      <c r="A39" s="214" t="s">
        <v>285</v>
      </c>
      <c r="B39" s="177"/>
      <c r="D39" s="80">
        <v>0</v>
      </c>
      <c r="E39" s="71"/>
      <c r="F39" s="71">
        <v>0</v>
      </c>
      <c r="G39" s="71"/>
      <c r="H39" s="71">
        <f t="shared" si="3"/>
        <v>0</v>
      </c>
      <c r="I39" s="71"/>
      <c r="J39" s="71">
        <v>307566986.00000006</v>
      </c>
      <c r="K39" s="71"/>
      <c r="L39" s="71">
        <v>0</v>
      </c>
      <c r="M39" s="71"/>
      <c r="N39" s="71">
        <f t="shared" si="4"/>
        <v>307566986.00000006</v>
      </c>
      <c r="O39" s="278" t="str">
        <f t="shared" si="5"/>
        <v>بانک شهر 7001003694372</v>
      </c>
      <c r="P39" s="93">
        <v>0.22500000000000001</v>
      </c>
      <c r="Q39" s="71">
        <v>37569452</v>
      </c>
      <c r="R39" s="218">
        <v>0.22500000000000001</v>
      </c>
      <c r="S39" s="209">
        <f t="shared" si="17"/>
        <v>37569452.000000007</v>
      </c>
      <c r="T39" s="209">
        <f t="shared" si="7"/>
        <v>0</v>
      </c>
      <c r="U39" s="209"/>
      <c r="V39" s="218">
        <f t="shared" si="16"/>
        <v>0</v>
      </c>
      <c r="W39" s="150">
        <f t="shared" si="9"/>
        <v>0</v>
      </c>
    </row>
    <row r="40" spans="1:23" s="109" customFormat="1" ht="30.75" customHeight="1" thickBot="1">
      <c r="A40" s="214" t="s">
        <v>287</v>
      </c>
      <c r="B40" s="177"/>
      <c r="D40" s="80">
        <v>0</v>
      </c>
      <c r="E40" s="71"/>
      <c r="F40" s="71">
        <v>0</v>
      </c>
      <c r="G40" s="71"/>
      <c r="H40" s="71">
        <f t="shared" si="3"/>
        <v>0</v>
      </c>
      <c r="I40" s="71"/>
      <c r="J40" s="71">
        <v>1386398219.0000002</v>
      </c>
      <c r="K40" s="71"/>
      <c r="L40" s="71">
        <v>0</v>
      </c>
      <c r="M40" s="71"/>
      <c r="N40" s="71">
        <f t="shared" si="4"/>
        <v>1386398219.0000002</v>
      </c>
      <c r="O40" s="278" t="str">
        <f t="shared" si="5"/>
        <v>بانک شهر 7001003694358</v>
      </c>
      <c r="P40" s="93">
        <v>0.22500000000000001</v>
      </c>
      <c r="Q40" s="71">
        <v>0</v>
      </c>
      <c r="R40" s="218">
        <v>0.22500000000000001</v>
      </c>
      <c r="S40" s="209">
        <f t="shared" si="17"/>
        <v>0</v>
      </c>
      <c r="T40" s="209">
        <f t="shared" si="7"/>
        <v>0</v>
      </c>
      <c r="U40" s="209"/>
      <c r="V40" s="218">
        <f t="shared" si="16"/>
        <v>0</v>
      </c>
      <c r="W40" s="150">
        <f t="shared" si="9"/>
        <v>0</v>
      </c>
    </row>
    <row r="41" spans="1:23" s="109" customFormat="1" ht="30.75" customHeight="1" thickBot="1">
      <c r="A41" s="214" t="s">
        <v>288</v>
      </c>
      <c r="B41" s="177"/>
      <c r="D41" s="302">
        <v>0</v>
      </c>
      <c r="E41" s="71"/>
      <c r="F41" s="71">
        <v>0</v>
      </c>
      <c r="G41" s="71"/>
      <c r="H41" s="71">
        <f t="shared" si="3"/>
        <v>0</v>
      </c>
      <c r="I41" s="71">
        <f>E41+G41</f>
        <v>0</v>
      </c>
      <c r="J41" s="175">
        <v>356377808</v>
      </c>
      <c r="K41" s="71"/>
      <c r="L41" s="71">
        <v>0</v>
      </c>
      <c r="M41" s="71"/>
      <c r="N41" s="71">
        <f t="shared" si="4"/>
        <v>356377808</v>
      </c>
      <c r="O41" s="278" t="str">
        <f t="shared" ref="O41:O72" si="18">A41</f>
        <v>بانک شهر 7001003694342</v>
      </c>
      <c r="P41" s="93">
        <v>0.22500000000000001</v>
      </c>
      <c r="Q41" s="71">
        <v>0</v>
      </c>
      <c r="R41" s="218">
        <v>0.22500000000000001</v>
      </c>
      <c r="S41" s="209">
        <f t="shared" si="17"/>
        <v>0</v>
      </c>
      <c r="T41" s="209">
        <f t="shared" si="7"/>
        <v>0</v>
      </c>
      <c r="U41" s="209"/>
      <c r="V41" s="218">
        <f t="shared" si="16"/>
        <v>0</v>
      </c>
      <c r="W41" s="150">
        <f t="shared" ref="W41:W72" si="19">Q41-S41</f>
        <v>0</v>
      </c>
    </row>
    <row r="42" spans="1:23" s="109" customFormat="1" ht="30.75" customHeight="1" thickBot="1">
      <c r="A42" s="214" t="s">
        <v>289</v>
      </c>
      <c r="B42" s="177"/>
      <c r="D42" s="203">
        <v>0</v>
      </c>
      <c r="E42" s="71"/>
      <c r="F42" s="71">
        <v>0</v>
      </c>
      <c r="G42" s="71"/>
      <c r="H42" s="71">
        <f t="shared" si="3"/>
        <v>0</v>
      </c>
      <c r="I42" s="71"/>
      <c r="J42" s="71">
        <v>205648459</v>
      </c>
      <c r="K42" s="71"/>
      <c r="L42" s="71">
        <v>0</v>
      </c>
      <c r="M42" s="71"/>
      <c r="N42" s="71">
        <f t="shared" si="4"/>
        <v>205648459</v>
      </c>
      <c r="O42" s="278" t="str">
        <f t="shared" si="18"/>
        <v>بانک شهر 7001003694335</v>
      </c>
      <c r="P42" s="93">
        <v>0.22500000000000001</v>
      </c>
      <c r="Q42" s="71">
        <v>0</v>
      </c>
      <c r="R42" s="218">
        <v>0.22500000000000001</v>
      </c>
      <c r="S42" s="209">
        <f t="shared" si="17"/>
        <v>0</v>
      </c>
      <c r="T42" s="209">
        <f t="shared" si="7"/>
        <v>0</v>
      </c>
      <c r="U42" s="209"/>
      <c r="V42" s="218">
        <f t="shared" si="16"/>
        <v>0</v>
      </c>
      <c r="W42" s="150">
        <f t="shared" si="19"/>
        <v>0</v>
      </c>
    </row>
    <row r="43" spans="1:23" s="109" customFormat="1" ht="30.75" customHeight="1" thickBot="1">
      <c r="A43" s="214" t="s">
        <v>290</v>
      </c>
      <c r="B43" s="177"/>
      <c r="D43" s="80">
        <v>0</v>
      </c>
      <c r="E43" s="71"/>
      <c r="F43" s="71">
        <v>0</v>
      </c>
      <c r="G43" s="71"/>
      <c r="H43" s="71">
        <f t="shared" si="3"/>
        <v>0</v>
      </c>
      <c r="I43" s="71"/>
      <c r="J43" s="71">
        <v>4068493151</v>
      </c>
      <c r="K43" s="71"/>
      <c r="L43" s="71">
        <v>0</v>
      </c>
      <c r="M43" s="71"/>
      <c r="N43" s="71">
        <f t="shared" si="4"/>
        <v>4068493151</v>
      </c>
      <c r="O43" s="278" t="str">
        <f t="shared" si="18"/>
        <v>بانک شهر 7001003677276</v>
      </c>
      <c r="P43" s="93">
        <v>0.22500000000000001</v>
      </c>
      <c r="Q43" s="71">
        <v>19835753</v>
      </c>
      <c r="R43" s="218">
        <v>0.22500000000000001</v>
      </c>
      <c r="S43" s="209">
        <f t="shared" si="17"/>
        <v>19835753</v>
      </c>
      <c r="T43" s="209">
        <f t="shared" si="7"/>
        <v>0</v>
      </c>
      <c r="U43" s="209"/>
      <c r="V43" s="218">
        <f t="shared" si="16"/>
        <v>0</v>
      </c>
      <c r="W43" s="150">
        <f t="shared" si="19"/>
        <v>0</v>
      </c>
    </row>
    <row r="44" spans="1:23" s="109" customFormat="1" ht="30.75" customHeight="1" thickBot="1">
      <c r="A44" s="214" t="s">
        <v>291</v>
      </c>
      <c r="B44" s="177"/>
      <c r="D44" s="203">
        <v>0</v>
      </c>
      <c r="E44" s="71"/>
      <c r="F44" s="71">
        <v>0</v>
      </c>
      <c r="G44" s="71"/>
      <c r="H44" s="71">
        <f t="shared" si="3"/>
        <v>0</v>
      </c>
      <c r="I44" s="71"/>
      <c r="J44" s="71">
        <v>402041096.00000006</v>
      </c>
      <c r="K44" s="71"/>
      <c r="L44" s="71">
        <v>0</v>
      </c>
      <c r="M44" s="71"/>
      <c r="N44" s="71">
        <f t="shared" si="4"/>
        <v>402041096.00000006</v>
      </c>
      <c r="O44" s="278" t="str">
        <f t="shared" si="18"/>
        <v>بانک شهر 7001003667789</v>
      </c>
      <c r="P44" s="93">
        <v>0.22500000000000001</v>
      </c>
      <c r="Q44" s="71">
        <v>0</v>
      </c>
      <c r="R44" s="218">
        <v>0.22500000000000001</v>
      </c>
      <c r="S44" s="209">
        <f t="shared" si="17"/>
        <v>0</v>
      </c>
      <c r="T44" s="209">
        <f t="shared" si="7"/>
        <v>0</v>
      </c>
      <c r="U44" s="209"/>
      <c r="V44" s="218">
        <f t="shared" si="16"/>
        <v>0</v>
      </c>
      <c r="W44" s="150">
        <f t="shared" si="19"/>
        <v>0</v>
      </c>
    </row>
    <row r="45" spans="1:23" s="109" customFormat="1" ht="30.75" customHeight="1">
      <c r="A45" s="214" t="s">
        <v>292</v>
      </c>
      <c r="B45" s="177"/>
      <c r="D45" s="80">
        <v>0</v>
      </c>
      <c r="E45" s="71"/>
      <c r="F45" s="71">
        <v>0</v>
      </c>
      <c r="G45" s="71"/>
      <c r="H45" s="71">
        <f t="shared" si="3"/>
        <v>0</v>
      </c>
      <c r="I45" s="71"/>
      <c r="J45" s="71">
        <v>927431507</v>
      </c>
      <c r="K45" s="71"/>
      <c r="L45" s="71">
        <v>0</v>
      </c>
      <c r="M45" s="71"/>
      <c r="N45" s="71">
        <f t="shared" si="4"/>
        <v>927431507</v>
      </c>
      <c r="O45" s="278" t="str">
        <f t="shared" si="18"/>
        <v>بانک شهر 7001003667501</v>
      </c>
      <c r="P45" s="93">
        <v>0.22500000000000001</v>
      </c>
      <c r="Q45" s="71">
        <v>0</v>
      </c>
      <c r="R45" s="218">
        <v>0.22500000000000001</v>
      </c>
      <c r="S45" s="209">
        <f t="shared" si="17"/>
        <v>0</v>
      </c>
      <c r="T45" s="209">
        <f t="shared" si="7"/>
        <v>0</v>
      </c>
      <c r="U45" s="209"/>
      <c r="V45" s="218">
        <f t="shared" si="16"/>
        <v>0</v>
      </c>
      <c r="W45" s="150">
        <f t="shared" si="19"/>
        <v>0</v>
      </c>
    </row>
    <row r="46" spans="1:23" s="109" customFormat="1" ht="30.75" customHeight="1" thickBot="1">
      <c r="A46" s="214" t="s">
        <v>293</v>
      </c>
      <c r="B46" s="177"/>
      <c r="D46" s="204">
        <v>270649110</v>
      </c>
      <c r="E46" s="71"/>
      <c r="F46" s="71">
        <v>0</v>
      </c>
      <c r="G46" s="71"/>
      <c r="H46" s="71">
        <f t="shared" si="3"/>
        <v>270649110</v>
      </c>
      <c r="I46" s="71"/>
      <c r="J46" s="71">
        <v>1730688891</v>
      </c>
      <c r="K46" s="71"/>
      <c r="L46" s="71">
        <v>0</v>
      </c>
      <c r="M46" s="71"/>
      <c r="N46" s="71">
        <f t="shared" si="4"/>
        <v>1730688891</v>
      </c>
      <c r="O46" s="278" t="str">
        <f t="shared" si="18"/>
        <v>بانک شهر 7001003667498</v>
      </c>
      <c r="P46" s="93">
        <v>0.22500000000000001</v>
      </c>
      <c r="Q46" s="71">
        <v>0</v>
      </c>
      <c r="R46" s="218">
        <v>0.22500000000000001</v>
      </c>
      <c r="S46" s="209">
        <f t="shared" si="17"/>
        <v>0</v>
      </c>
      <c r="T46" s="209">
        <f t="shared" si="7"/>
        <v>0</v>
      </c>
      <c r="U46" s="209"/>
      <c r="V46" s="218">
        <f t="shared" si="16"/>
        <v>0</v>
      </c>
      <c r="W46" s="150">
        <f t="shared" si="19"/>
        <v>0</v>
      </c>
    </row>
    <row r="47" spans="1:23" s="109" customFormat="1" ht="30.75" customHeight="1" thickBot="1">
      <c r="A47" s="214" t="s">
        <v>267</v>
      </c>
      <c r="B47" s="177"/>
      <c r="D47" s="203">
        <v>0</v>
      </c>
      <c r="E47" s="71"/>
      <c r="F47" s="71">
        <v>0</v>
      </c>
      <c r="G47" s="71"/>
      <c r="H47" s="71">
        <f t="shared" si="3"/>
        <v>0</v>
      </c>
      <c r="I47" s="71"/>
      <c r="J47" s="71">
        <v>1809329793</v>
      </c>
      <c r="K47" s="71"/>
      <c r="L47" s="71">
        <v>0</v>
      </c>
      <c r="M47" s="71"/>
      <c r="N47" s="71">
        <f t="shared" si="4"/>
        <v>1809329793</v>
      </c>
      <c r="O47" s="278" t="str">
        <f t="shared" si="18"/>
        <v>بانک شهر 7001003631847</v>
      </c>
      <c r="P47" s="93">
        <v>0.22500000000000001</v>
      </c>
      <c r="Q47" s="71">
        <v>0</v>
      </c>
      <c r="R47" s="218">
        <v>0.22500000000000001</v>
      </c>
      <c r="S47" s="209">
        <f t="shared" si="17"/>
        <v>0</v>
      </c>
      <c r="T47" s="209">
        <f t="shared" si="7"/>
        <v>0</v>
      </c>
      <c r="U47" s="209"/>
      <c r="V47" s="218">
        <f t="shared" si="16"/>
        <v>0</v>
      </c>
      <c r="W47" s="150">
        <f t="shared" si="19"/>
        <v>0</v>
      </c>
    </row>
    <row r="48" spans="1:23" s="109" customFormat="1" ht="30.75" customHeight="1" thickBot="1">
      <c r="A48" s="214" t="s">
        <v>252</v>
      </c>
      <c r="B48" s="177"/>
      <c r="D48" s="203">
        <v>0</v>
      </c>
      <c r="E48" s="71"/>
      <c r="F48" s="71">
        <v>0</v>
      </c>
      <c r="G48" s="71"/>
      <c r="H48" s="71">
        <f t="shared" si="3"/>
        <v>0</v>
      </c>
      <c r="I48" s="71"/>
      <c r="J48" s="71">
        <v>2831461643.0000005</v>
      </c>
      <c r="K48" s="71"/>
      <c r="L48" s="71">
        <v>0</v>
      </c>
      <c r="M48" s="71"/>
      <c r="N48" s="71">
        <f t="shared" si="4"/>
        <v>2831461643.0000005</v>
      </c>
      <c r="O48" s="278" t="str">
        <f t="shared" si="18"/>
        <v>بانک شهر 7001003572558</v>
      </c>
      <c r="P48" s="93">
        <v>0.22500000000000001</v>
      </c>
      <c r="Q48" s="71">
        <v>0</v>
      </c>
      <c r="R48" s="218">
        <v>0.22500000000000001</v>
      </c>
      <c r="S48" s="209">
        <f t="shared" si="17"/>
        <v>0</v>
      </c>
      <c r="T48" s="209">
        <f t="shared" si="7"/>
        <v>0</v>
      </c>
      <c r="U48" s="209"/>
      <c r="V48" s="218">
        <f t="shared" si="16"/>
        <v>0</v>
      </c>
      <c r="W48" s="150">
        <f t="shared" si="19"/>
        <v>0</v>
      </c>
    </row>
    <row r="49" spans="1:23" s="109" customFormat="1" ht="30.75" customHeight="1" thickBot="1">
      <c r="A49" s="214" t="s">
        <v>224</v>
      </c>
      <c r="B49" s="177"/>
      <c r="D49" s="203">
        <v>0</v>
      </c>
      <c r="E49" s="71"/>
      <c r="F49" s="71">
        <v>0</v>
      </c>
      <c r="G49" s="71"/>
      <c r="H49" s="71">
        <f t="shared" si="3"/>
        <v>0</v>
      </c>
      <c r="I49" s="71"/>
      <c r="J49" s="71">
        <v>530988904</v>
      </c>
      <c r="K49" s="71"/>
      <c r="L49" s="71">
        <v>0</v>
      </c>
      <c r="M49" s="71"/>
      <c r="N49" s="71">
        <f t="shared" si="4"/>
        <v>530988904</v>
      </c>
      <c r="O49" s="278" t="str">
        <f t="shared" si="18"/>
        <v>بانک شهر 7001003401283</v>
      </c>
      <c r="P49" s="93">
        <v>0.22500000000000001</v>
      </c>
      <c r="Q49" s="71">
        <v>0</v>
      </c>
      <c r="R49" s="218">
        <v>0.22500000000000001</v>
      </c>
      <c r="S49" s="209">
        <f t="shared" si="17"/>
        <v>0</v>
      </c>
      <c r="T49" s="209">
        <f t="shared" si="7"/>
        <v>0</v>
      </c>
      <c r="U49" s="209"/>
      <c r="V49" s="218">
        <f t="shared" si="16"/>
        <v>0</v>
      </c>
      <c r="W49" s="150">
        <f t="shared" si="19"/>
        <v>0</v>
      </c>
    </row>
    <row r="50" spans="1:23" s="109" customFormat="1" ht="30.75" customHeight="1" thickBot="1">
      <c r="A50" s="214" t="s">
        <v>232</v>
      </c>
      <c r="B50" s="177"/>
      <c r="D50" s="71">
        <v>0</v>
      </c>
      <c r="E50" s="71"/>
      <c r="F50" s="71">
        <v>0</v>
      </c>
      <c r="G50" s="71"/>
      <c r="H50" s="71">
        <f t="shared" si="3"/>
        <v>0</v>
      </c>
      <c r="I50" s="71"/>
      <c r="J50" s="71">
        <v>292561643</v>
      </c>
      <c r="K50" s="71"/>
      <c r="L50" s="71">
        <v>0</v>
      </c>
      <c r="M50" s="71"/>
      <c r="N50" s="71">
        <f t="shared" si="4"/>
        <v>292561643</v>
      </c>
      <c r="O50" s="278" t="str">
        <f t="shared" si="18"/>
        <v>بانک شهر 7001003400910</v>
      </c>
      <c r="P50" s="93">
        <v>0.22500000000000001</v>
      </c>
      <c r="Q50" s="71">
        <v>270649110</v>
      </c>
      <c r="R50" s="218">
        <v>0.22500000000000001</v>
      </c>
      <c r="S50" s="209">
        <f t="shared" si="17"/>
        <v>270649110</v>
      </c>
      <c r="T50" s="209">
        <f t="shared" si="7"/>
        <v>0</v>
      </c>
      <c r="U50" s="209"/>
      <c r="V50" s="218">
        <f t="shared" si="16"/>
        <v>0</v>
      </c>
      <c r="W50" s="150">
        <f t="shared" si="19"/>
        <v>0</v>
      </c>
    </row>
    <row r="51" spans="1:23" s="109" customFormat="1" ht="30.75" customHeight="1" thickBot="1">
      <c r="A51" s="214" t="s">
        <v>217</v>
      </c>
      <c r="B51" s="177"/>
      <c r="D51" s="203">
        <v>0</v>
      </c>
      <c r="E51" s="71"/>
      <c r="F51" s="71">
        <v>0</v>
      </c>
      <c r="G51" s="71"/>
      <c r="H51" s="71">
        <f t="shared" si="3"/>
        <v>0</v>
      </c>
      <c r="I51" s="71"/>
      <c r="J51" s="71">
        <v>12011301370</v>
      </c>
      <c r="K51" s="71"/>
      <c r="L51" s="71">
        <v>0</v>
      </c>
      <c r="M51" s="71"/>
      <c r="N51" s="71">
        <f t="shared" si="4"/>
        <v>12011301370</v>
      </c>
      <c r="O51" s="278" t="str">
        <f t="shared" si="18"/>
        <v>بانک شهر 7001003400845</v>
      </c>
      <c r="P51" s="93">
        <v>0.22500000000000001</v>
      </c>
      <c r="Q51" s="71">
        <v>0</v>
      </c>
      <c r="R51" s="218">
        <v>0.22500000000000001</v>
      </c>
      <c r="S51" s="209">
        <f t="shared" si="17"/>
        <v>0</v>
      </c>
      <c r="T51" s="209">
        <f t="shared" si="7"/>
        <v>0</v>
      </c>
      <c r="U51" s="209"/>
      <c r="V51" s="218">
        <f t="shared" si="16"/>
        <v>0</v>
      </c>
      <c r="W51" s="150">
        <f t="shared" si="19"/>
        <v>0</v>
      </c>
    </row>
    <row r="52" spans="1:23" s="109" customFormat="1" ht="30.75" customHeight="1">
      <c r="A52" s="214" t="s">
        <v>218</v>
      </c>
      <c r="B52" s="177"/>
      <c r="D52" s="80">
        <v>0</v>
      </c>
      <c r="E52" s="71"/>
      <c r="F52" s="71">
        <v>0</v>
      </c>
      <c r="G52" s="71"/>
      <c r="H52" s="71">
        <f t="shared" si="3"/>
        <v>0</v>
      </c>
      <c r="I52" s="71"/>
      <c r="J52" s="71">
        <v>696729452.00000012</v>
      </c>
      <c r="K52" s="71"/>
      <c r="L52" s="71">
        <v>0</v>
      </c>
      <c r="M52" s="71"/>
      <c r="N52" s="71">
        <f t="shared" si="4"/>
        <v>696729452.00000012</v>
      </c>
      <c r="O52" s="278" t="str">
        <f t="shared" si="18"/>
        <v>بانک شهر 7001003374932</v>
      </c>
      <c r="P52" s="93">
        <v>0.22500000000000001</v>
      </c>
      <c r="Q52" s="71">
        <v>0</v>
      </c>
      <c r="R52" s="218">
        <v>0.22500000000000001</v>
      </c>
      <c r="S52" s="209">
        <f t="shared" si="17"/>
        <v>0</v>
      </c>
      <c r="T52" s="209">
        <f t="shared" si="7"/>
        <v>0</v>
      </c>
      <c r="U52" s="209"/>
      <c r="V52" s="218">
        <f t="shared" si="16"/>
        <v>0</v>
      </c>
      <c r="W52" s="150">
        <f t="shared" si="19"/>
        <v>0</v>
      </c>
    </row>
    <row r="53" spans="1:23" s="109" customFormat="1" ht="30.75" customHeight="1">
      <c r="A53" s="214" t="s">
        <v>219</v>
      </c>
      <c r="B53" s="177"/>
      <c r="D53" s="80">
        <v>0</v>
      </c>
      <c r="E53" s="71"/>
      <c r="F53" s="71">
        <v>0</v>
      </c>
      <c r="G53" s="71"/>
      <c r="H53" s="71">
        <f t="shared" si="3"/>
        <v>0</v>
      </c>
      <c r="I53" s="71"/>
      <c r="J53" s="71">
        <v>22654110</v>
      </c>
      <c r="K53" s="71"/>
      <c r="L53" s="71">
        <v>0</v>
      </c>
      <c r="M53" s="71"/>
      <c r="N53" s="71">
        <f t="shared" si="4"/>
        <v>22654110</v>
      </c>
      <c r="O53" s="278" t="str">
        <f t="shared" si="18"/>
        <v>بانک شهر 7001003374469</v>
      </c>
      <c r="P53" s="93">
        <v>0.22500000000000001</v>
      </c>
      <c r="Q53" s="71">
        <v>1639249207</v>
      </c>
      <c r="R53" s="218">
        <v>0.22500000000000001</v>
      </c>
      <c r="S53" s="209">
        <f t="shared" si="17"/>
        <v>1639249207</v>
      </c>
      <c r="T53" s="209">
        <f t="shared" si="7"/>
        <v>0</v>
      </c>
      <c r="U53" s="209"/>
      <c r="V53" s="218">
        <f t="shared" si="16"/>
        <v>0</v>
      </c>
      <c r="W53" s="150">
        <f t="shared" si="19"/>
        <v>0</v>
      </c>
    </row>
    <row r="54" spans="1:23" s="109" customFormat="1" ht="30.75" customHeight="1">
      <c r="A54" s="214" t="s">
        <v>222</v>
      </c>
      <c r="B54" s="177"/>
      <c r="D54" s="80">
        <v>0</v>
      </c>
      <c r="E54" s="71"/>
      <c r="F54" s="71">
        <v>0</v>
      </c>
      <c r="G54" s="71"/>
      <c r="H54" s="71">
        <f t="shared" si="3"/>
        <v>0</v>
      </c>
      <c r="I54" s="71"/>
      <c r="J54" s="71">
        <v>308958904</v>
      </c>
      <c r="K54" s="71"/>
      <c r="L54" s="71">
        <v>0</v>
      </c>
      <c r="M54" s="71"/>
      <c r="N54" s="71">
        <f t="shared" si="4"/>
        <v>308958904</v>
      </c>
      <c r="O54" s="278" t="str">
        <f t="shared" si="18"/>
        <v>بانک شهر 7001003374230</v>
      </c>
      <c r="P54" s="93">
        <v>0.22500000000000001</v>
      </c>
      <c r="Q54" s="71">
        <v>229315068</v>
      </c>
      <c r="R54" s="218">
        <v>0.22500000000000001</v>
      </c>
      <c r="S54" s="209">
        <f t="shared" si="17"/>
        <v>229315068</v>
      </c>
      <c r="T54" s="209">
        <f t="shared" si="7"/>
        <v>0</v>
      </c>
      <c r="U54" s="209"/>
      <c r="V54" s="218">
        <f t="shared" si="16"/>
        <v>0</v>
      </c>
      <c r="W54" s="150">
        <f t="shared" si="19"/>
        <v>0</v>
      </c>
    </row>
    <row r="55" spans="1:23" s="109" customFormat="1" ht="30.75" customHeight="1">
      <c r="A55" s="214" t="s">
        <v>223</v>
      </c>
      <c r="B55" s="177"/>
      <c r="D55" s="80">
        <v>0</v>
      </c>
      <c r="E55" s="71"/>
      <c r="F55" s="71">
        <v>0</v>
      </c>
      <c r="G55" s="71"/>
      <c r="H55" s="71">
        <f t="shared" si="3"/>
        <v>0</v>
      </c>
      <c r="I55" s="71"/>
      <c r="J55" s="71">
        <v>2221234517</v>
      </c>
      <c r="K55" s="71"/>
      <c r="L55" s="71">
        <v>0</v>
      </c>
      <c r="M55" s="71"/>
      <c r="N55" s="71">
        <f t="shared" si="4"/>
        <v>2221234517</v>
      </c>
      <c r="O55" s="278" t="str">
        <f t="shared" si="18"/>
        <v>بانک شهر 7001003374148</v>
      </c>
      <c r="P55" s="93">
        <v>0.22500000000000001</v>
      </c>
      <c r="Q55" s="71">
        <v>0</v>
      </c>
      <c r="R55" s="218">
        <v>0.22500000000000001</v>
      </c>
      <c r="S55" s="209">
        <f t="shared" si="17"/>
        <v>0</v>
      </c>
      <c r="T55" s="209">
        <f t="shared" si="7"/>
        <v>0</v>
      </c>
      <c r="U55" s="209"/>
      <c r="V55" s="218">
        <f t="shared" si="16"/>
        <v>0</v>
      </c>
      <c r="W55" s="150">
        <f t="shared" si="19"/>
        <v>0</v>
      </c>
    </row>
    <row r="56" spans="1:23" s="109" customFormat="1" ht="30.75" customHeight="1">
      <c r="A56" s="214" t="s">
        <v>230</v>
      </c>
      <c r="B56" s="177"/>
      <c r="D56" s="80">
        <v>0</v>
      </c>
      <c r="E56" s="71"/>
      <c r="F56" s="71">
        <v>0</v>
      </c>
      <c r="G56" s="71"/>
      <c r="H56" s="71">
        <f t="shared" si="3"/>
        <v>0</v>
      </c>
      <c r="I56" s="71"/>
      <c r="J56" s="71">
        <v>51047260</v>
      </c>
      <c r="K56" s="71"/>
      <c r="L56" s="71">
        <v>0</v>
      </c>
      <c r="M56" s="71"/>
      <c r="N56" s="71">
        <f t="shared" si="4"/>
        <v>51047260</v>
      </c>
      <c r="O56" s="278" t="str">
        <f t="shared" si="18"/>
        <v>بانک شهر 7001003373626</v>
      </c>
      <c r="P56" s="93">
        <v>0.22500000000000001</v>
      </c>
      <c r="Q56" s="71">
        <v>39652397</v>
      </c>
      <c r="R56" s="218">
        <v>0.22500000000000001</v>
      </c>
      <c r="S56" s="209">
        <f t="shared" si="17"/>
        <v>39652397.000000007</v>
      </c>
      <c r="T56" s="209">
        <f t="shared" si="7"/>
        <v>0</v>
      </c>
      <c r="U56" s="209"/>
      <c r="V56" s="218">
        <f t="shared" si="16"/>
        <v>0</v>
      </c>
      <c r="W56" s="150">
        <f t="shared" si="19"/>
        <v>0</v>
      </c>
    </row>
    <row r="57" spans="1:23" s="109" customFormat="1" ht="30.75" customHeight="1">
      <c r="A57" s="214" t="s">
        <v>229</v>
      </c>
      <c r="B57" s="177"/>
      <c r="D57" s="80">
        <v>0</v>
      </c>
      <c r="E57" s="71"/>
      <c r="F57" s="71">
        <v>0</v>
      </c>
      <c r="G57" s="71"/>
      <c r="H57" s="71">
        <f t="shared" si="3"/>
        <v>0</v>
      </c>
      <c r="I57" s="71"/>
      <c r="J57" s="71">
        <v>1980376028</v>
      </c>
      <c r="K57" s="71"/>
      <c r="L57" s="71">
        <v>0</v>
      </c>
      <c r="M57" s="71"/>
      <c r="N57" s="71">
        <f t="shared" si="4"/>
        <v>1980376028</v>
      </c>
      <c r="O57" s="278" t="str">
        <f t="shared" si="18"/>
        <v>بانک شهر 7001003359645</v>
      </c>
      <c r="P57" s="93">
        <v>0.22500000000000001</v>
      </c>
      <c r="Q57" s="71">
        <v>0</v>
      </c>
      <c r="R57" s="218">
        <v>0.22500000000000001</v>
      </c>
      <c r="S57" s="209">
        <f t="shared" si="17"/>
        <v>0</v>
      </c>
      <c r="T57" s="209">
        <f t="shared" si="7"/>
        <v>0</v>
      </c>
      <c r="U57" s="209"/>
      <c r="V57" s="218">
        <f t="shared" si="16"/>
        <v>0</v>
      </c>
      <c r="W57" s="150">
        <f t="shared" si="19"/>
        <v>0</v>
      </c>
    </row>
    <row r="58" spans="1:23" ht="30" customHeight="1">
      <c r="A58" s="214" t="s">
        <v>178</v>
      </c>
      <c r="B58" s="177"/>
      <c r="C58" s="109"/>
      <c r="D58" s="80">
        <v>0</v>
      </c>
      <c r="E58" s="71"/>
      <c r="F58" s="71">
        <v>0</v>
      </c>
      <c r="G58" s="71"/>
      <c r="H58" s="71">
        <f t="shared" si="3"/>
        <v>0</v>
      </c>
      <c r="I58" s="71"/>
      <c r="J58" s="71">
        <v>520890410</v>
      </c>
      <c r="K58" s="71"/>
      <c r="L58" s="71">
        <v>0</v>
      </c>
      <c r="M58" s="71"/>
      <c r="N58" s="71">
        <f t="shared" si="4"/>
        <v>520890410</v>
      </c>
      <c r="O58" s="278" t="str">
        <f t="shared" si="18"/>
        <v>بانک شهر 7001003356893</v>
      </c>
      <c r="P58" s="93">
        <v>0.22500000000000001</v>
      </c>
      <c r="Q58" s="71">
        <v>0</v>
      </c>
      <c r="R58" s="218">
        <v>0.22500000000000001</v>
      </c>
      <c r="S58" s="209">
        <f t="shared" si="17"/>
        <v>0</v>
      </c>
      <c r="T58" s="209">
        <f t="shared" si="7"/>
        <v>0</v>
      </c>
      <c r="V58" s="218">
        <f t="shared" si="16"/>
        <v>0</v>
      </c>
      <c r="W58" s="150">
        <f t="shared" si="19"/>
        <v>0</v>
      </c>
    </row>
    <row r="59" spans="1:23" ht="30" customHeight="1">
      <c r="A59" s="214" t="s">
        <v>175</v>
      </c>
      <c r="B59" s="177"/>
      <c r="C59" s="109"/>
      <c r="D59" s="80">
        <v>0</v>
      </c>
      <c r="E59" s="71"/>
      <c r="F59" s="71">
        <v>0</v>
      </c>
      <c r="G59" s="71"/>
      <c r="H59" s="71">
        <f t="shared" si="3"/>
        <v>0</v>
      </c>
      <c r="I59" s="71"/>
      <c r="J59" s="71">
        <v>241742466</v>
      </c>
      <c r="K59" s="71"/>
      <c r="L59" s="71">
        <v>0</v>
      </c>
      <c r="M59" s="71"/>
      <c r="N59" s="71">
        <f t="shared" si="4"/>
        <v>241742466</v>
      </c>
      <c r="O59" s="278" t="str">
        <f t="shared" si="18"/>
        <v>بانک شهر 7001003356883</v>
      </c>
      <c r="P59" s="93">
        <v>0.22500000000000001</v>
      </c>
      <c r="Q59" s="71">
        <v>4720068</v>
      </c>
      <c r="R59" s="218">
        <v>0.22500000000000001</v>
      </c>
      <c r="S59" s="209">
        <f t="shared" si="17"/>
        <v>4720068</v>
      </c>
      <c r="T59" s="209">
        <f t="shared" si="7"/>
        <v>0</v>
      </c>
      <c r="V59" s="218">
        <f t="shared" si="16"/>
        <v>0</v>
      </c>
      <c r="W59" s="150">
        <f t="shared" si="19"/>
        <v>0</v>
      </c>
    </row>
    <row r="60" spans="1:23" ht="30" customHeight="1">
      <c r="A60" s="214" t="s">
        <v>190</v>
      </c>
      <c r="B60" s="177"/>
      <c r="C60" s="109"/>
      <c r="D60" s="80">
        <v>0</v>
      </c>
      <c r="E60" s="71"/>
      <c r="F60" s="71">
        <v>0</v>
      </c>
      <c r="G60" s="71"/>
      <c r="H60" s="71">
        <f t="shared" si="3"/>
        <v>0</v>
      </c>
      <c r="I60" s="71"/>
      <c r="J60" s="71">
        <v>687476712.00000012</v>
      </c>
      <c r="K60" s="71"/>
      <c r="L60" s="71">
        <v>0</v>
      </c>
      <c r="M60" s="71"/>
      <c r="N60" s="71">
        <f t="shared" si="4"/>
        <v>687476712.00000012</v>
      </c>
      <c r="O60" s="278" t="str">
        <f t="shared" si="18"/>
        <v>بانک شهر 7001003345278</v>
      </c>
      <c r="P60" s="93">
        <v>0.22500000000000001</v>
      </c>
      <c r="Q60" s="71">
        <v>41850000</v>
      </c>
      <c r="R60" s="218">
        <v>0.22500000000000001</v>
      </c>
      <c r="S60" s="209">
        <f t="shared" si="17"/>
        <v>41850000</v>
      </c>
      <c r="T60" s="209">
        <f t="shared" si="7"/>
        <v>0</v>
      </c>
      <c r="V60" s="218">
        <f t="shared" si="16"/>
        <v>0</v>
      </c>
      <c r="W60" s="150">
        <f t="shared" si="19"/>
        <v>0</v>
      </c>
    </row>
    <row r="61" spans="1:23" s="109" customFormat="1" ht="30.75" customHeight="1">
      <c r="A61" s="214" t="s">
        <v>186</v>
      </c>
      <c r="B61" s="177"/>
      <c r="D61" s="80">
        <v>0</v>
      </c>
      <c r="E61" s="71"/>
      <c r="F61" s="71">
        <v>0</v>
      </c>
      <c r="G61" s="71"/>
      <c r="H61" s="71">
        <f t="shared" si="3"/>
        <v>0</v>
      </c>
      <c r="I61" s="71"/>
      <c r="J61" s="71">
        <v>50312468</v>
      </c>
      <c r="K61" s="71"/>
      <c r="L61" s="71">
        <v>0</v>
      </c>
      <c r="M61" s="71"/>
      <c r="N61" s="71">
        <f t="shared" si="4"/>
        <v>50312468</v>
      </c>
      <c r="O61" s="278" t="str">
        <f t="shared" si="18"/>
        <v>بانک شهر 7001003317861</v>
      </c>
      <c r="P61" s="93">
        <v>0.22500000000000001</v>
      </c>
      <c r="Q61" s="71">
        <v>0</v>
      </c>
      <c r="R61" s="218">
        <v>0.22500000000000001</v>
      </c>
      <c r="S61" s="209">
        <f t="shared" si="17"/>
        <v>0</v>
      </c>
      <c r="T61" s="209">
        <f t="shared" si="7"/>
        <v>0</v>
      </c>
      <c r="U61" s="209"/>
      <c r="V61" s="218">
        <f t="shared" si="16"/>
        <v>0</v>
      </c>
      <c r="W61" s="150">
        <f t="shared" si="19"/>
        <v>0</v>
      </c>
    </row>
    <row r="62" spans="1:23" s="109" customFormat="1" ht="30.75" customHeight="1">
      <c r="A62" s="214" t="s">
        <v>189</v>
      </c>
      <c r="B62" s="177"/>
      <c r="D62" s="80">
        <v>0</v>
      </c>
      <c r="E62" s="71"/>
      <c r="F62" s="71">
        <v>0</v>
      </c>
      <c r="G62" s="71"/>
      <c r="H62" s="71">
        <f t="shared" si="3"/>
        <v>0</v>
      </c>
      <c r="I62" s="71"/>
      <c r="J62" s="71">
        <v>257307534</v>
      </c>
      <c r="K62" s="71"/>
      <c r="L62" s="71">
        <v>0</v>
      </c>
      <c r="M62" s="71"/>
      <c r="N62" s="71">
        <f t="shared" si="4"/>
        <v>257307534</v>
      </c>
      <c r="O62" s="278" t="str">
        <f t="shared" si="18"/>
        <v>بانک شهر 7001003316468</v>
      </c>
      <c r="P62" s="93">
        <v>0.22500000000000001</v>
      </c>
      <c r="Q62" s="71">
        <v>0</v>
      </c>
      <c r="R62" s="218">
        <v>0.22500000000000001</v>
      </c>
      <c r="S62" s="209">
        <f t="shared" si="17"/>
        <v>0</v>
      </c>
      <c r="T62" s="209">
        <f t="shared" si="7"/>
        <v>0</v>
      </c>
      <c r="U62" s="209"/>
      <c r="V62" s="218">
        <f t="shared" si="16"/>
        <v>0</v>
      </c>
      <c r="W62" s="150">
        <f t="shared" si="19"/>
        <v>0</v>
      </c>
    </row>
    <row r="63" spans="1:23" s="109" customFormat="1" ht="30.75" customHeight="1">
      <c r="A63" s="214" t="s">
        <v>180</v>
      </c>
      <c r="B63" s="177"/>
      <c r="D63" s="80">
        <v>0</v>
      </c>
      <c r="E63" s="71"/>
      <c r="F63" s="71">
        <v>0</v>
      </c>
      <c r="G63" s="71"/>
      <c r="H63" s="71">
        <f t="shared" si="3"/>
        <v>0</v>
      </c>
      <c r="I63" s="71"/>
      <c r="J63" s="71">
        <v>440228528</v>
      </c>
      <c r="K63" s="71"/>
      <c r="L63" s="71">
        <v>0</v>
      </c>
      <c r="M63" s="71"/>
      <c r="N63" s="71">
        <f t="shared" si="4"/>
        <v>440228528</v>
      </c>
      <c r="O63" s="278" t="str">
        <f t="shared" si="18"/>
        <v>بانک شهر 7001003316357</v>
      </c>
      <c r="P63" s="93">
        <v>0.22500000000000001</v>
      </c>
      <c r="Q63" s="71">
        <v>37836986</v>
      </c>
      <c r="R63" s="218">
        <v>0.22500000000000001</v>
      </c>
      <c r="S63" s="209">
        <f t="shared" si="17"/>
        <v>37836986</v>
      </c>
      <c r="T63" s="209">
        <f t="shared" si="7"/>
        <v>0</v>
      </c>
      <c r="U63" s="209"/>
      <c r="V63" s="218">
        <f t="shared" ref="V63:V92" si="20">S63-Q63</f>
        <v>0</v>
      </c>
      <c r="W63" s="150">
        <f t="shared" si="19"/>
        <v>0</v>
      </c>
    </row>
    <row r="64" spans="1:23" s="109" customFormat="1" ht="30.75" customHeight="1">
      <c r="A64" s="214" t="s">
        <v>182</v>
      </c>
      <c r="B64" s="177"/>
      <c r="D64" s="80">
        <v>0</v>
      </c>
      <c r="E64" s="71"/>
      <c r="F64" s="71">
        <v>0</v>
      </c>
      <c r="G64" s="71"/>
      <c r="H64" s="71">
        <f t="shared" si="3"/>
        <v>0</v>
      </c>
      <c r="I64" s="71"/>
      <c r="J64" s="71">
        <v>102914383</v>
      </c>
      <c r="K64" s="71"/>
      <c r="L64" s="71">
        <v>0</v>
      </c>
      <c r="M64" s="71"/>
      <c r="N64" s="71">
        <f t="shared" si="4"/>
        <v>102914383</v>
      </c>
      <c r="O64" s="278" t="str">
        <f t="shared" si="18"/>
        <v>بانک شهر 7001003316350</v>
      </c>
      <c r="P64" s="93">
        <v>0.22500000000000001</v>
      </c>
      <c r="Q64" s="71">
        <v>0</v>
      </c>
      <c r="R64" s="218">
        <v>0.22500000000000001</v>
      </c>
      <c r="S64" s="209">
        <f t="shared" si="17"/>
        <v>0</v>
      </c>
      <c r="T64" s="209">
        <f t="shared" si="7"/>
        <v>0</v>
      </c>
      <c r="U64" s="209"/>
      <c r="V64" s="218">
        <f t="shared" si="20"/>
        <v>0</v>
      </c>
      <c r="W64" s="150">
        <f t="shared" si="19"/>
        <v>0</v>
      </c>
    </row>
    <row r="65" spans="1:23" s="109" customFormat="1" ht="30.75" customHeight="1">
      <c r="A65" s="214" t="s">
        <v>174</v>
      </c>
      <c r="B65" s="177"/>
      <c r="D65" s="80">
        <v>0</v>
      </c>
      <c r="E65" s="71"/>
      <c r="F65" s="71">
        <v>0</v>
      </c>
      <c r="G65" s="71"/>
      <c r="H65" s="71">
        <f t="shared" si="3"/>
        <v>0</v>
      </c>
      <c r="I65" s="71"/>
      <c r="J65" s="71">
        <v>1510273972</v>
      </c>
      <c r="K65" s="71"/>
      <c r="L65" s="71">
        <v>0</v>
      </c>
      <c r="M65" s="71"/>
      <c r="N65" s="71">
        <f t="shared" si="4"/>
        <v>1510273972</v>
      </c>
      <c r="O65" s="278" t="str">
        <f t="shared" si="18"/>
        <v>بانک شهر 7001003316349</v>
      </c>
      <c r="P65" s="93">
        <v>0.22500000000000001</v>
      </c>
      <c r="Q65" s="71">
        <v>0</v>
      </c>
      <c r="R65" s="218">
        <v>0.22500000000000001</v>
      </c>
      <c r="S65" s="209">
        <f t="shared" si="17"/>
        <v>0</v>
      </c>
      <c r="T65" s="209">
        <f t="shared" si="7"/>
        <v>0</v>
      </c>
      <c r="U65" s="209"/>
      <c r="V65" s="218">
        <f t="shared" si="20"/>
        <v>0</v>
      </c>
      <c r="W65" s="150">
        <f t="shared" si="19"/>
        <v>0</v>
      </c>
    </row>
    <row r="66" spans="1:23" s="109" customFormat="1" ht="30.75" customHeight="1">
      <c r="A66" s="214" t="s">
        <v>188</v>
      </c>
      <c r="B66" s="177"/>
      <c r="D66" s="80">
        <v>0</v>
      </c>
      <c r="E66" s="71"/>
      <c r="F66" s="71">
        <v>0</v>
      </c>
      <c r="G66" s="71"/>
      <c r="H66" s="71">
        <f t="shared" si="3"/>
        <v>0</v>
      </c>
      <c r="I66" s="71"/>
      <c r="J66" s="71">
        <v>1557036986</v>
      </c>
      <c r="K66" s="71"/>
      <c r="L66" s="71">
        <v>0</v>
      </c>
      <c r="M66" s="71"/>
      <c r="N66" s="71">
        <f t="shared" si="4"/>
        <v>1557036986</v>
      </c>
      <c r="O66" s="278" t="str">
        <f t="shared" si="18"/>
        <v>بانک شهر 7001003260934</v>
      </c>
      <c r="P66" s="93">
        <v>0.22500000000000001</v>
      </c>
      <c r="Q66" s="71">
        <v>51767876</v>
      </c>
      <c r="R66" s="93">
        <v>0.22500000000000001</v>
      </c>
      <c r="S66" s="209">
        <f t="shared" si="17"/>
        <v>51767876</v>
      </c>
      <c r="T66" s="209">
        <f t="shared" si="7"/>
        <v>0</v>
      </c>
      <c r="U66" s="209"/>
      <c r="V66" s="218">
        <f t="shared" si="20"/>
        <v>0</v>
      </c>
      <c r="W66" s="150">
        <f t="shared" si="19"/>
        <v>0</v>
      </c>
    </row>
    <row r="67" spans="1:23" ht="30" customHeight="1" thickBot="1">
      <c r="A67" s="214" t="s">
        <v>184</v>
      </c>
      <c r="B67" s="177"/>
      <c r="C67" s="109"/>
      <c r="D67" s="80">
        <v>0</v>
      </c>
      <c r="E67" s="71"/>
      <c r="F67" s="71">
        <v>0</v>
      </c>
      <c r="G67" s="71"/>
      <c r="H67" s="71">
        <f t="shared" si="3"/>
        <v>0</v>
      </c>
      <c r="I67" s="71"/>
      <c r="J67" s="71">
        <v>5856165</v>
      </c>
      <c r="K67" s="71"/>
      <c r="L67" s="71">
        <v>0</v>
      </c>
      <c r="M67" s="71"/>
      <c r="N67" s="71">
        <f t="shared" si="4"/>
        <v>5856165</v>
      </c>
      <c r="O67" s="278" t="str">
        <f t="shared" si="18"/>
        <v>بانک شهر 7001003260834</v>
      </c>
      <c r="P67" s="93">
        <v>0.22500000000000001</v>
      </c>
      <c r="Q67" s="71">
        <v>0</v>
      </c>
      <c r="R67" s="93">
        <v>0.22500000000000001</v>
      </c>
      <c r="S67" s="209">
        <f t="shared" si="17"/>
        <v>0</v>
      </c>
      <c r="T67" s="209">
        <f t="shared" si="7"/>
        <v>0</v>
      </c>
      <c r="V67" s="218">
        <f t="shared" si="20"/>
        <v>0</v>
      </c>
      <c r="W67" s="150">
        <f t="shared" si="19"/>
        <v>0</v>
      </c>
    </row>
    <row r="68" spans="1:23" s="109" customFormat="1" ht="30.75" customHeight="1" thickBot="1">
      <c r="A68" s="214" t="s">
        <v>170</v>
      </c>
      <c r="B68" s="177"/>
      <c r="D68" s="203">
        <v>0</v>
      </c>
      <c r="E68" s="71"/>
      <c r="F68" s="71">
        <v>0</v>
      </c>
      <c r="G68" s="71"/>
      <c r="H68" s="71">
        <f t="shared" si="3"/>
        <v>0</v>
      </c>
      <c r="I68" s="71"/>
      <c r="J68" s="71">
        <v>81986301</v>
      </c>
      <c r="K68" s="71"/>
      <c r="L68" s="71">
        <v>0</v>
      </c>
      <c r="M68" s="71"/>
      <c r="N68" s="71">
        <f t="shared" si="4"/>
        <v>81986301</v>
      </c>
      <c r="O68" s="278" t="str">
        <f t="shared" si="18"/>
        <v>بانک شهر 7001003260318</v>
      </c>
      <c r="P68" s="93">
        <v>0.22500000000000001</v>
      </c>
      <c r="Q68" s="71">
        <v>0</v>
      </c>
      <c r="R68" s="93">
        <v>0.22500000000000001</v>
      </c>
      <c r="S68" s="209">
        <f t="shared" si="17"/>
        <v>0</v>
      </c>
      <c r="T68" s="209">
        <f t="shared" si="7"/>
        <v>0</v>
      </c>
      <c r="U68" s="209"/>
      <c r="V68" s="218">
        <f t="shared" si="20"/>
        <v>0</v>
      </c>
      <c r="W68" s="150">
        <f t="shared" si="19"/>
        <v>0</v>
      </c>
    </row>
    <row r="69" spans="1:23" s="109" customFormat="1" ht="30.75" customHeight="1" thickBot="1">
      <c r="A69" s="214" t="s">
        <v>183</v>
      </c>
      <c r="B69" s="177"/>
      <c r="D69" s="203">
        <v>0</v>
      </c>
      <c r="E69" s="71"/>
      <c r="F69" s="71">
        <v>0</v>
      </c>
      <c r="G69" s="71"/>
      <c r="H69" s="71">
        <f t="shared" si="3"/>
        <v>0</v>
      </c>
      <c r="I69" s="71"/>
      <c r="J69" s="71">
        <v>25767124</v>
      </c>
      <c r="K69" s="71"/>
      <c r="L69" s="71">
        <v>0</v>
      </c>
      <c r="M69" s="71"/>
      <c r="N69" s="71">
        <f t="shared" si="4"/>
        <v>25767124</v>
      </c>
      <c r="O69" s="278" t="str">
        <f t="shared" si="18"/>
        <v>بانک شهر 7001003259908</v>
      </c>
      <c r="P69" s="93">
        <v>0.22500000000000001</v>
      </c>
      <c r="Q69" s="71">
        <v>0</v>
      </c>
      <c r="R69" s="93">
        <v>0.22500000000000001</v>
      </c>
      <c r="S69" s="209">
        <f t="shared" si="17"/>
        <v>0</v>
      </c>
      <c r="T69" s="209">
        <f t="shared" si="7"/>
        <v>0</v>
      </c>
      <c r="U69" s="209"/>
      <c r="V69" s="218">
        <f t="shared" si="20"/>
        <v>0</v>
      </c>
      <c r="W69" s="150">
        <f t="shared" si="19"/>
        <v>0</v>
      </c>
    </row>
    <row r="70" spans="1:23" s="109" customFormat="1" ht="30.75" customHeight="1" thickBot="1">
      <c r="A70" s="214" t="s">
        <v>181</v>
      </c>
      <c r="B70" s="177"/>
      <c r="D70" s="203">
        <v>0</v>
      </c>
      <c r="E70" s="71"/>
      <c r="F70" s="71">
        <v>0</v>
      </c>
      <c r="G70" s="71"/>
      <c r="H70" s="71">
        <f t="shared" si="3"/>
        <v>0</v>
      </c>
      <c r="I70" s="71"/>
      <c r="J70" s="71">
        <v>309673973</v>
      </c>
      <c r="K70" s="71"/>
      <c r="L70" s="71">
        <v>0</v>
      </c>
      <c r="M70" s="71"/>
      <c r="N70" s="71">
        <f t="shared" si="4"/>
        <v>309673973</v>
      </c>
      <c r="O70" s="278" t="str">
        <f t="shared" si="18"/>
        <v>بانک شهر 7001003258822</v>
      </c>
      <c r="P70" s="93">
        <v>0.22500000000000001</v>
      </c>
      <c r="Q70" s="71">
        <v>0</v>
      </c>
      <c r="R70" s="93">
        <v>0.22500000000000001</v>
      </c>
      <c r="S70" s="209">
        <f t="shared" si="17"/>
        <v>0</v>
      </c>
      <c r="T70" s="209">
        <f t="shared" si="7"/>
        <v>0</v>
      </c>
      <c r="U70" s="209"/>
      <c r="V70" s="218">
        <f t="shared" si="20"/>
        <v>0</v>
      </c>
      <c r="W70" s="150">
        <f t="shared" si="19"/>
        <v>0</v>
      </c>
    </row>
    <row r="71" spans="1:23" s="109" customFormat="1" ht="30.75" customHeight="1" thickBot="1">
      <c r="A71" s="214" t="s">
        <v>169</v>
      </c>
      <c r="B71" s="177"/>
      <c r="D71" s="80">
        <v>0</v>
      </c>
      <c r="E71" s="71"/>
      <c r="F71" s="71">
        <v>0</v>
      </c>
      <c r="G71" s="71"/>
      <c r="H71" s="71">
        <f t="shared" si="3"/>
        <v>0</v>
      </c>
      <c r="I71" s="71"/>
      <c r="J71" s="71">
        <v>64417808</v>
      </c>
      <c r="K71" s="71"/>
      <c r="L71" s="71">
        <v>0</v>
      </c>
      <c r="M71" s="71"/>
      <c r="N71" s="71">
        <f t="shared" si="4"/>
        <v>64417808</v>
      </c>
      <c r="O71" s="278" t="str">
        <f t="shared" si="18"/>
        <v>بانک شهر 7001003258763</v>
      </c>
      <c r="P71" s="93">
        <v>0.22500000000000001</v>
      </c>
      <c r="Q71" s="71">
        <v>0</v>
      </c>
      <c r="R71" s="93">
        <v>0.22500000000000001</v>
      </c>
      <c r="S71" s="209">
        <f t="shared" si="17"/>
        <v>0</v>
      </c>
      <c r="T71" s="209">
        <f t="shared" si="7"/>
        <v>0</v>
      </c>
      <c r="U71" s="209"/>
      <c r="V71" s="218">
        <f t="shared" si="20"/>
        <v>0</v>
      </c>
      <c r="W71" s="150">
        <f t="shared" si="19"/>
        <v>0</v>
      </c>
    </row>
    <row r="72" spans="1:23" s="109" customFormat="1" ht="30.75" customHeight="1" thickBot="1">
      <c r="A72" s="214" t="s">
        <v>187</v>
      </c>
      <c r="B72" s="177"/>
      <c r="D72" s="203">
        <v>0</v>
      </c>
      <c r="E72" s="71"/>
      <c r="F72" s="71">
        <v>0</v>
      </c>
      <c r="G72" s="71"/>
      <c r="H72" s="71">
        <f t="shared" ref="H72:H115" si="21">D72+F72</f>
        <v>0</v>
      </c>
      <c r="I72" s="71"/>
      <c r="J72" s="71">
        <v>10861662328</v>
      </c>
      <c r="K72" s="71"/>
      <c r="L72" s="71">
        <v>0</v>
      </c>
      <c r="M72" s="71"/>
      <c r="N72" s="71">
        <f t="shared" ref="N72:N115" si="22">J72+L72</f>
        <v>10861662328</v>
      </c>
      <c r="O72" s="278" t="str">
        <f t="shared" si="18"/>
        <v xml:space="preserve">بانک شهر 7001003258695 </v>
      </c>
      <c r="P72" s="93">
        <v>0.22500000000000001</v>
      </c>
      <c r="Q72" s="71">
        <v>0</v>
      </c>
      <c r="R72" s="93">
        <v>0.22500000000000001</v>
      </c>
      <c r="S72" s="209">
        <f t="shared" si="17"/>
        <v>0</v>
      </c>
      <c r="T72" s="209">
        <f t="shared" si="7"/>
        <v>0</v>
      </c>
      <c r="U72" s="209"/>
      <c r="V72" s="218">
        <f t="shared" si="20"/>
        <v>0</v>
      </c>
      <c r="W72" s="150">
        <f t="shared" si="19"/>
        <v>0</v>
      </c>
    </row>
    <row r="73" spans="1:23" s="109" customFormat="1" ht="30.75" customHeight="1" thickBot="1">
      <c r="A73" s="214" t="s">
        <v>172</v>
      </c>
      <c r="B73" s="177"/>
      <c r="D73" s="203">
        <v>0</v>
      </c>
      <c r="E73" s="71"/>
      <c r="F73" s="71">
        <v>0</v>
      </c>
      <c r="G73" s="71"/>
      <c r="H73" s="71">
        <f t="shared" si="21"/>
        <v>0</v>
      </c>
      <c r="I73" s="71"/>
      <c r="J73" s="71">
        <v>38065069</v>
      </c>
      <c r="K73" s="71"/>
      <c r="L73" s="71">
        <v>0</v>
      </c>
      <c r="M73" s="71"/>
      <c r="N73" s="71">
        <f t="shared" si="22"/>
        <v>38065069</v>
      </c>
      <c r="O73" s="278" t="str">
        <f t="shared" ref="O73:O98" si="23">A73</f>
        <v xml:space="preserve">بانک شهر 7001003258678 </v>
      </c>
      <c r="P73" s="93">
        <v>0.22500000000000001</v>
      </c>
      <c r="Q73" s="71">
        <v>0</v>
      </c>
      <c r="R73" s="93">
        <v>0.22500000000000001</v>
      </c>
      <c r="S73" s="209">
        <f t="shared" si="17"/>
        <v>0</v>
      </c>
      <c r="T73" s="209">
        <f t="shared" ref="T73:T90" si="24">S73-Q73</f>
        <v>0</v>
      </c>
      <c r="U73" s="209"/>
      <c r="V73" s="218">
        <f t="shared" si="20"/>
        <v>0</v>
      </c>
      <c r="W73" s="150">
        <f t="shared" ref="W73:W115" si="25">Q73-S73</f>
        <v>0</v>
      </c>
    </row>
    <row r="74" spans="1:23" s="109" customFormat="1" ht="30.75" customHeight="1" thickBot="1">
      <c r="A74" s="214" t="s">
        <v>149</v>
      </c>
      <c r="B74" s="177"/>
      <c r="D74" s="203">
        <v>0</v>
      </c>
      <c r="E74" s="71"/>
      <c r="F74" s="71">
        <v>0</v>
      </c>
      <c r="G74" s="71"/>
      <c r="H74" s="71">
        <f t="shared" si="21"/>
        <v>0</v>
      </c>
      <c r="I74" s="71"/>
      <c r="J74" s="71">
        <v>303333906.00000006</v>
      </c>
      <c r="K74" s="71"/>
      <c r="L74" s="71">
        <v>0</v>
      </c>
      <c r="M74" s="71"/>
      <c r="N74" s="71">
        <f t="shared" si="22"/>
        <v>303333906.00000006</v>
      </c>
      <c r="O74" s="278" t="str">
        <f t="shared" si="23"/>
        <v>بانک شهر 7001003214661</v>
      </c>
      <c r="P74" s="93">
        <v>0.22500000000000001</v>
      </c>
      <c r="Q74" s="71">
        <v>0</v>
      </c>
      <c r="R74" s="93">
        <v>0.22500000000000001</v>
      </c>
      <c r="S74" s="209">
        <f t="shared" si="17"/>
        <v>0</v>
      </c>
      <c r="T74" s="209">
        <f t="shared" si="24"/>
        <v>0</v>
      </c>
      <c r="U74" s="209"/>
      <c r="V74" s="218">
        <f t="shared" si="20"/>
        <v>0</v>
      </c>
      <c r="W74" s="150">
        <f t="shared" si="25"/>
        <v>0</v>
      </c>
    </row>
    <row r="75" spans="1:23" s="109" customFormat="1" ht="30.75" customHeight="1" thickBot="1">
      <c r="A75" s="214" t="s">
        <v>154</v>
      </c>
      <c r="B75" s="177"/>
      <c r="D75" s="203">
        <v>0</v>
      </c>
      <c r="E75" s="71"/>
      <c r="F75" s="71">
        <v>0</v>
      </c>
      <c r="G75" s="71"/>
      <c r="H75" s="71">
        <f t="shared" si="21"/>
        <v>0</v>
      </c>
      <c r="I75" s="71"/>
      <c r="J75" s="71">
        <v>5942619864</v>
      </c>
      <c r="K75" s="71"/>
      <c r="L75" s="71">
        <v>0</v>
      </c>
      <c r="M75" s="71"/>
      <c r="N75" s="71">
        <f t="shared" si="22"/>
        <v>5942619864</v>
      </c>
      <c r="O75" s="278" t="str">
        <f t="shared" si="23"/>
        <v>بانک شهر 7001003214649</v>
      </c>
      <c r="P75" s="93">
        <v>0.22500000000000001</v>
      </c>
      <c r="Q75" s="71">
        <v>0</v>
      </c>
      <c r="R75" s="93">
        <v>0.22500000000000001</v>
      </c>
      <c r="S75" s="209">
        <f t="shared" si="17"/>
        <v>0</v>
      </c>
      <c r="T75" s="209">
        <f t="shared" si="24"/>
        <v>0</v>
      </c>
      <c r="U75" s="209"/>
      <c r="V75" s="218">
        <f t="shared" si="20"/>
        <v>0</v>
      </c>
      <c r="W75" s="150">
        <f t="shared" si="25"/>
        <v>0</v>
      </c>
    </row>
    <row r="76" spans="1:23" s="109" customFormat="1" ht="30.75" customHeight="1" thickBot="1">
      <c r="A76" s="214" t="s">
        <v>249</v>
      </c>
      <c r="B76" s="177"/>
      <c r="D76" s="203">
        <v>0</v>
      </c>
      <c r="E76" s="71"/>
      <c r="F76" s="71">
        <v>0</v>
      </c>
      <c r="G76" s="71"/>
      <c r="H76" s="71">
        <f t="shared" si="21"/>
        <v>0</v>
      </c>
      <c r="I76" s="71"/>
      <c r="J76" s="71">
        <v>364746575</v>
      </c>
      <c r="K76" s="71"/>
      <c r="L76" s="71">
        <v>0</v>
      </c>
      <c r="M76" s="71"/>
      <c r="N76" s="71">
        <f t="shared" si="22"/>
        <v>364746575</v>
      </c>
      <c r="O76" s="278" t="str">
        <f t="shared" si="23"/>
        <v>بانک شهر  7001003572607</v>
      </c>
      <c r="P76" s="93">
        <v>0.22500000000000001</v>
      </c>
      <c r="Q76" s="71">
        <v>0</v>
      </c>
      <c r="R76" s="93">
        <v>0.22500000000000001</v>
      </c>
      <c r="S76" s="209">
        <f t="shared" si="17"/>
        <v>0</v>
      </c>
      <c r="T76" s="209">
        <f t="shared" si="24"/>
        <v>0</v>
      </c>
      <c r="U76" s="209"/>
      <c r="V76" s="218">
        <f t="shared" si="20"/>
        <v>0</v>
      </c>
      <c r="W76" s="150">
        <f t="shared" si="25"/>
        <v>0</v>
      </c>
    </row>
    <row r="77" spans="1:23" s="109" customFormat="1" ht="30.75" customHeight="1" thickBot="1">
      <c r="A77" s="214" t="s">
        <v>294</v>
      </c>
      <c r="B77" s="177"/>
      <c r="D77" s="203">
        <v>8130</v>
      </c>
      <c r="E77" s="71"/>
      <c r="F77" s="71">
        <v>0</v>
      </c>
      <c r="G77" s="71"/>
      <c r="H77" s="71">
        <f t="shared" si="21"/>
        <v>8130</v>
      </c>
      <c r="I77" s="71"/>
      <c r="J77" s="71">
        <f>16260+3980428507</f>
        <v>3980444767</v>
      </c>
      <c r="K77" s="71"/>
      <c r="L77" s="71">
        <v>0</v>
      </c>
      <c r="M77" s="71"/>
      <c r="N77" s="71">
        <f t="shared" si="22"/>
        <v>3980444767</v>
      </c>
      <c r="O77" s="278" t="str">
        <f t="shared" si="23"/>
        <v>بانک سامان کوتاه مدت 1-3998429-810-830</v>
      </c>
      <c r="P77" s="93">
        <v>0.22500000000000001</v>
      </c>
      <c r="Q77" s="71">
        <v>0</v>
      </c>
      <c r="R77" s="93">
        <v>0.22500000000000001</v>
      </c>
      <c r="S77" s="209">
        <f t="shared" si="17"/>
        <v>0</v>
      </c>
      <c r="T77" s="209">
        <f t="shared" si="24"/>
        <v>0</v>
      </c>
      <c r="U77" s="209"/>
      <c r="V77" s="218">
        <f t="shared" si="20"/>
        <v>0</v>
      </c>
      <c r="W77" s="150">
        <f t="shared" si="25"/>
        <v>0</v>
      </c>
    </row>
    <row r="78" spans="1:23" s="109" customFormat="1" ht="30.75" customHeight="1" thickBot="1">
      <c r="A78" s="214" t="s">
        <v>266</v>
      </c>
      <c r="B78" s="177"/>
      <c r="D78" s="203">
        <v>0</v>
      </c>
      <c r="E78" s="71"/>
      <c r="F78" s="71">
        <v>0</v>
      </c>
      <c r="G78" s="71"/>
      <c r="H78" s="71">
        <f t="shared" si="21"/>
        <v>0</v>
      </c>
      <c r="I78" s="71"/>
      <c r="J78" s="71">
        <v>13778406369.310345</v>
      </c>
      <c r="K78" s="71"/>
      <c r="L78" s="71">
        <v>0</v>
      </c>
      <c r="M78" s="71"/>
      <c r="N78" s="71">
        <f t="shared" si="22"/>
        <v>13778406369.310345</v>
      </c>
      <c r="O78" s="278" t="str">
        <f t="shared" si="23"/>
        <v>بانک سامان 830.111.3998429.1</v>
      </c>
      <c r="P78" s="93">
        <v>0.22500000000000001</v>
      </c>
      <c r="Q78" s="71">
        <v>0</v>
      </c>
      <c r="R78" s="93">
        <v>0.22500000000000001</v>
      </c>
      <c r="S78" s="209">
        <f t="shared" si="17"/>
        <v>0</v>
      </c>
      <c r="T78" s="209">
        <f t="shared" si="24"/>
        <v>0</v>
      </c>
      <c r="U78" s="209"/>
      <c r="V78" s="218">
        <f t="shared" si="20"/>
        <v>0</v>
      </c>
      <c r="W78" s="150">
        <f t="shared" si="25"/>
        <v>0</v>
      </c>
    </row>
    <row r="79" spans="1:23" s="109" customFormat="1" ht="30.75" customHeight="1" thickBot="1">
      <c r="A79" s="214" t="s">
        <v>265</v>
      </c>
      <c r="B79" s="177"/>
      <c r="D79" s="203">
        <v>0</v>
      </c>
      <c r="E79" s="71"/>
      <c r="F79" s="71">
        <v>0</v>
      </c>
      <c r="G79" s="71"/>
      <c r="H79" s="71">
        <f t="shared" si="21"/>
        <v>0</v>
      </c>
      <c r="I79" s="71"/>
      <c r="J79" s="175">
        <v>13594166506.551725</v>
      </c>
      <c r="K79" s="71"/>
      <c r="L79" s="71">
        <v>0</v>
      </c>
      <c r="M79" s="71"/>
      <c r="N79" s="71">
        <f t="shared" si="22"/>
        <v>13594166506.551725</v>
      </c>
      <c r="O79" s="278" t="str">
        <f t="shared" si="23"/>
        <v>بانک اقتصاد نوین 44-6867480-283-124</v>
      </c>
      <c r="P79" s="93">
        <v>0.22500000000000001</v>
      </c>
      <c r="Q79" s="71">
        <v>0</v>
      </c>
      <c r="R79" s="93">
        <v>0.22500000000000001</v>
      </c>
      <c r="S79" s="209">
        <f t="shared" si="17"/>
        <v>0</v>
      </c>
      <c r="T79" s="209">
        <f t="shared" si="24"/>
        <v>0</v>
      </c>
      <c r="U79" s="209"/>
      <c r="V79" s="218">
        <f t="shared" si="20"/>
        <v>0</v>
      </c>
      <c r="W79" s="150">
        <f t="shared" si="25"/>
        <v>0</v>
      </c>
    </row>
    <row r="80" spans="1:23" s="109" customFormat="1" ht="30.75" customHeight="1" thickBot="1">
      <c r="A80" s="214" t="s">
        <v>177</v>
      </c>
      <c r="B80" s="177"/>
      <c r="D80" s="203">
        <v>5034215.833333334</v>
      </c>
      <c r="E80" s="71"/>
      <c r="F80" s="71">
        <v>0</v>
      </c>
      <c r="G80" s="71"/>
      <c r="H80" s="71">
        <f t="shared" si="21"/>
        <v>5034215.833333334</v>
      </c>
      <c r="I80" s="71"/>
      <c r="J80" s="71">
        <v>1833890928.3333333</v>
      </c>
      <c r="K80" s="71"/>
      <c r="L80" s="71">
        <v>0</v>
      </c>
      <c r="M80" s="71"/>
      <c r="N80" s="71">
        <f t="shared" si="22"/>
        <v>1833890928.3333333</v>
      </c>
      <c r="O80" s="278" t="str">
        <f t="shared" si="23"/>
        <v>بانک اقتصاد نوین ۱۲۴۲۸۳۶۸۶۷۴۸۰۴۲</v>
      </c>
      <c r="P80" s="93">
        <v>0.22500000000000001</v>
      </c>
      <c r="Q80" s="71">
        <v>0</v>
      </c>
      <c r="R80" s="93">
        <v>0.22500000000000001</v>
      </c>
      <c r="S80" s="209">
        <f t="shared" si="17"/>
        <v>0</v>
      </c>
      <c r="T80" s="209">
        <f t="shared" si="24"/>
        <v>0</v>
      </c>
      <c r="U80" s="209"/>
      <c r="V80" s="218">
        <f t="shared" si="20"/>
        <v>0</v>
      </c>
      <c r="W80" s="150">
        <f t="shared" si="25"/>
        <v>0</v>
      </c>
    </row>
    <row r="81" spans="1:23" s="109" customFormat="1" ht="30.75" customHeight="1" thickBot="1">
      <c r="A81" s="214" t="s">
        <v>132</v>
      </c>
      <c r="B81" s="177"/>
      <c r="D81" s="203">
        <v>2141282.5471698111</v>
      </c>
      <c r="E81" s="71"/>
      <c r="F81" s="71">
        <v>0</v>
      </c>
      <c r="G81" s="71"/>
      <c r="H81" s="71">
        <f t="shared" si="21"/>
        <v>2141282.5471698111</v>
      </c>
      <c r="I81" s="71"/>
      <c r="J81" s="71">
        <v>103191556.41509433</v>
      </c>
      <c r="K81" s="71"/>
      <c r="L81" s="71">
        <v>0</v>
      </c>
      <c r="M81" s="71"/>
      <c r="N81" s="71">
        <f t="shared" si="22"/>
        <v>103191556.41509433</v>
      </c>
      <c r="O81" s="278" t="str">
        <f t="shared" si="23"/>
        <v>بانک اقتصاد نوین 124283686748038</v>
      </c>
      <c r="P81" s="93">
        <v>0.22500000000000001</v>
      </c>
      <c r="Q81" s="71">
        <v>0</v>
      </c>
      <c r="R81" s="93">
        <v>0.22500000000000001</v>
      </c>
      <c r="S81" s="209">
        <f t="shared" si="17"/>
        <v>0</v>
      </c>
      <c r="T81" s="209">
        <f t="shared" si="24"/>
        <v>0</v>
      </c>
      <c r="U81" s="209"/>
      <c r="V81" s="218">
        <f t="shared" si="20"/>
        <v>0</v>
      </c>
      <c r="W81" s="150">
        <f t="shared" si="25"/>
        <v>0</v>
      </c>
    </row>
    <row r="82" spans="1:23" s="109" customFormat="1" ht="30.75" customHeight="1" thickBot="1">
      <c r="A82" s="214" t="s">
        <v>185</v>
      </c>
      <c r="B82" s="177"/>
      <c r="D82" s="203">
        <v>19927188.333333336</v>
      </c>
      <c r="E82" s="71"/>
      <c r="F82" s="71">
        <v>0</v>
      </c>
      <c r="G82" s="71"/>
      <c r="H82" s="71">
        <f t="shared" si="21"/>
        <v>19927188.333333336</v>
      </c>
      <c r="I82" s="71"/>
      <c r="J82" s="71">
        <v>7259181982.5</v>
      </c>
      <c r="K82" s="71"/>
      <c r="L82" s="71">
        <v>0</v>
      </c>
      <c r="M82" s="71"/>
      <c r="N82" s="71">
        <f t="shared" si="22"/>
        <v>7259181982.5</v>
      </c>
      <c r="O82" s="278" t="str">
        <f t="shared" si="23"/>
        <v>اقتصادنوین 124283686748040</v>
      </c>
      <c r="P82" s="93">
        <v>0.22500000000000001</v>
      </c>
      <c r="Q82" s="71">
        <v>0</v>
      </c>
      <c r="R82" s="93">
        <v>0.22500000000000001</v>
      </c>
      <c r="S82" s="209">
        <f t="shared" si="17"/>
        <v>0</v>
      </c>
      <c r="T82" s="209">
        <f t="shared" si="24"/>
        <v>0</v>
      </c>
      <c r="U82" s="209"/>
      <c r="V82" s="218">
        <f t="shared" si="20"/>
        <v>0</v>
      </c>
      <c r="W82" s="150">
        <f t="shared" si="25"/>
        <v>0</v>
      </c>
    </row>
    <row r="83" spans="1:23" s="109" customFormat="1" ht="30.75" customHeight="1" thickBot="1">
      <c r="A83" s="214" t="s">
        <v>124</v>
      </c>
      <c r="B83" s="177"/>
      <c r="D83" s="203">
        <v>1229447.5471698113</v>
      </c>
      <c r="E83" s="71"/>
      <c r="F83" s="71">
        <v>0</v>
      </c>
      <c r="G83" s="71"/>
      <c r="H83" s="71">
        <f t="shared" si="21"/>
        <v>1229447.5471698113</v>
      </c>
      <c r="I83" s="71"/>
      <c r="J83" s="175">
        <v>58909586.603773586</v>
      </c>
      <c r="K83" s="71"/>
      <c r="L83" s="71">
        <v>0</v>
      </c>
      <c r="M83" s="71"/>
      <c r="N83" s="71">
        <f t="shared" si="22"/>
        <v>58909586.603773586</v>
      </c>
      <c r="O83" s="278" t="str">
        <f t="shared" si="23"/>
        <v>اقتصادنوین - ۱۲۴.۲۸۳.۶۸۶۷۴۸۰.۳۶</v>
      </c>
      <c r="P83" s="93">
        <v>0.22500000000000001</v>
      </c>
      <c r="Q83" s="71">
        <v>0</v>
      </c>
      <c r="R83" s="93">
        <v>0.22500000000000001</v>
      </c>
      <c r="S83" s="209">
        <f t="shared" si="17"/>
        <v>0</v>
      </c>
      <c r="T83" s="209">
        <f t="shared" si="24"/>
        <v>0</v>
      </c>
      <c r="U83" s="209"/>
      <c r="V83" s="218">
        <f t="shared" si="20"/>
        <v>0</v>
      </c>
      <c r="W83" s="150">
        <f t="shared" si="25"/>
        <v>0</v>
      </c>
    </row>
    <row r="84" spans="1:23" s="109" customFormat="1" ht="30.75" customHeight="1" thickBot="1">
      <c r="A84" s="214" t="s">
        <v>356</v>
      </c>
      <c r="B84" s="177"/>
      <c r="D84" s="203">
        <v>6740641.6981132077</v>
      </c>
      <c r="E84" s="71"/>
      <c r="F84" s="71">
        <v>0</v>
      </c>
      <c r="G84" s="71"/>
      <c r="H84" s="71">
        <f t="shared" si="21"/>
        <v>6740641.6981132077</v>
      </c>
      <c r="I84" s="71"/>
      <c r="J84" s="71">
        <v>6740641.6981132077</v>
      </c>
      <c r="K84" s="71"/>
      <c r="L84" s="71">
        <v>0</v>
      </c>
      <c r="M84" s="71"/>
      <c r="N84" s="71">
        <f t="shared" si="22"/>
        <v>6740641.6981132077</v>
      </c>
      <c r="O84" s="278" t="str">
        <f t="shared" si="23"/>
        <v>اقتصاد نوین34-6867480-283-124</v>
      </c>
      <c r="P84" s="93">
        <v>0.22500000000000001</v>
      </c>
      <c r="Q84" s="71">
        <v>0</v>
      </c>
      <c r="R84" s="93">
        <v>0.22500000000000001</v>
      </c>
      <c r="S84" s="209">
        <f t="shared" si="17"/>
        <v>0</v>
      </c>
      <c r="T84" s="209">
        <f t="shared" si="24"/>
        <v>0</v>
      </c>
      <c r="U84" s="209"/>
      <c r="V84" s="218">
        <f t="shared" si="20"/>
        <v>0</v>
      </c>
      <c r="W84" s="150">
        <f t="shared" si="25"/>
        <v>0</v>
      </c>
    </row>
    <row r="85" spans="1:23" s="109" customFormat="1" ht="30.75" customHeight="1" thickBot="1">
      <c r="A85" s="214" t="s">
        <v>357</v>
      </c>
      <c r="B85" s="177"/>
      <c r="D85" s="203">
        <v>5715609.6226415094</v>
      </c>
      <c r="E85" s="71"/>
      <c r="F85" s="71">
        <v>0</v>
      </c>
      <c r="G85" s="71"/>
      <c r="H85" s="71">
        <f t="shared" si="21"/>
        <v>5715609.6226415094</v>
      </c>
      <c r="I85" s="71"/>
      <c r="J85" s="71">
        <v>5715609.6226415094</v>
      </c>
      <c r="K85" s="71"/>
      <c r="L85" s="71">
        <v>0</v>
      </c>
      <c r="M85" s="71"/>
      <c r="N85" s="71">
        <f t="shared" si="22"/>
        <v>5715609.6226415094</v>
      </c>
      <c r="O85" s="278" t="str">
        <f t="shared" si="23"/>
        <v>اقتصاد نوین33-6867480-283-124</v>
      </c>
      <c r="P85" s="93">
        <v>0.22500000000000001</v>
      </c>
      <c r="Q85" s="71">
        <v>0</v>
      </c>
      <c r="R85" s="225">
        <v>0.22500000000000001</v>
      </c>
      <c r="S85" s="209">
        <f t="shared" si="17"/>
        <v>0</v>
      </c>
      <c r="T85" s="209">
        <f t="shared" si="24"/>
        <v>0</v>
      </c>
      <c r="U85" s="209"/>
      <c r="V85" s="218">
        <f t="shared" si="20"/>
        <v>0</v>
      </c>
      <c r="W85" s="150">
        <f t="shared" si="25"/>
        <v>0</v>
      </c>
    </row>
    <row r="86" spans="1:23" ht="30" customHeight="1" thickBot="1">
      <c r="A86" s="214" t="s">
        <v>116</v>
      </c>
      <c r="B86" s="177"/>
      <c r="C86" s="109"/>
      <c r="D86" s="80">
        <v>8326768.5849056607</v>
      </c>
      <c r="E86" s="71"/>
      <c r="F86" s="71">
        <v>0</v>
      </c>
      <c r="G86" s="71"/>
      <c r="H86" s="71">
        <f t="shared" si="21"/>
        <v>8326768.5849056607</v>
      </c>
      <c r="I86" s="71"/>
      <c r="J86" s="71">
        <v>19955265.283018865</v>
      </c>
      <c r="K86" s="71"/>
      <c r="L86" s="71">
        <v>0</v>
      </c>
      <c r="M86" s="71"/>
      <c r="N86" s="71">
        <f t="shared" si="22"/>
        <v>19955265.283018865</v>
      </c>
      <c r="O86" s="278" t="str">
        <f t="shared" si="23"/>
        <v>اقتصاد نوین 32-6867480-283-124</v>
      </c>
      <c r="P86" s="93">
        <v>0.22500000000000001</v>
      </c>
      <c r="Q86" s="71">
        <v>0</v>
      </c>
      <c r="R86" s="225">
        <v>0.22500000000000001</v>
      </c>
      <c r="S86" s="209">
        <f>Q86*P86/R86</f>
        <v>0</v>
      </c>
      <c r="T86" s="209">
        <f t="shared" si="24"/>
        <v>0</v>
      </c>
      <c r="V86" s="218">
        <f t="shared" si="20"/>
        <v>0</v>
      </c>
      <c r="W86" s="150">
        <f t="shared" si="25"/>
        <v>0</v>
      </c>
    </row>
    <row r="87" spans="1:23" s="109" customFormat="1" ht="30.75" customHeight="1" thickBot="1">
      <c r="A87" s="214" t="s">
        <v>173</v>
      </c>
      <c r="B87" s="177"/>
      <c r="D87" s="203">
        <v>4472540</v>
      </c>
      <c r="E87" s="71"/>
      <c r="F87" s="71">
        <v>0</v>
      </c>
      <c r="G87" s="71"/>
      <c r="H87" s="71">
        <f t="shared" si="21"/>
        <v>4472540</v>
      </c>
      <c r="I87" s="71"/>
      <c r="J87" s="71">
        <v>1629280759.1666667</v>
      </c>
      <c r="K87" s="71"/>
      <c r="L87" s="71">
        <v>0</v>
      </c>
      <c r="M87" s="71"/>
      <c r="N87" s="71">
        <f t="shared" si="22"/>
        <v>1629280759.1666667</v>
      </c>
      <c r="O87" s="278" t="str">
        <f t="shared" si="23"/>
        <v>اقتصاد نوین ۱۲۴۲۸۳۶۸۶۷۴۸۰۴۱</v>
      </c>
      <c r="P87" s="93">
        <v>0.22500000000000001</v>
      </c>
      <c r="Q87" s="71">
        <v>0</v>
      </c>
      <c r="R87" s="225">
        <v>0.22500000000000001</v>
      </c>
      <c r="S87" s="209">
        <f t="shared" si="17"/>
        <v>0</v>
      </c>
      <c r="T87" s="209">
        <f t="shared" si="24"/>
        <v>0</v>
      </c>
      <c r="U87" s="209"/>
      <c r="V87" s="218">
        <f t="shared" si="20"/>
        <v>0</v>
      </c>
      <c r="W87" s="150">
        <f t="shared" si="25"/>
        <v>0</v>
      </c>
    </row>
    <row r="88" spans="1:23" s="109" customFormat="1" ht="30.75" customHeight="1" thickBot="1">
      <c r="A88" s="214" t="s">
        <v>264</v>
      </c>
      <c r="B88" s="177"/>
      <c r="D88" s="80">
        <v>0</v>
      </c>
      <c r="E88" s="71"/>
      <c r="F88" s="71">
        <v>0</v>
      </c>
      <c r="G88" s="71"/>
      <c r="H88" s="71">
        <f t="shared" si="21"/>
        <v>0</v>
      </c>
      <c r="I88" s="71"/>
      <c r="J88" s="175">
        <v>3982191781.034483</v>
      </c>
      <c r="K88" s="71"/>
      <c r="L88" s="71">
        <v>0</v>
      </c>
      <c r="M88" s="71"/>
      <c r="N88" s="71">
        <f t="shared" si="22"/>
        <v>3982191781.034483</v>
      </c>
      <c r="O88" s="301" t="str">
        <f>A88</f>
        <v>اقتصاد نوین 124283686748043</v>
      </c>
      <c r="P88" s="88">
        <v>0.05</v>
      </c>
      <c r="Q88" s="71">
        <v>8130</v>
      </c>
      <c r="R88" s="225">
        <v>0.05</v>
      </c>
      <c r="S88" s="209">
        <f>Q88*P88/R88</f>
        <v>8130</v>
      </c>
      <c r="T88" s="209">
        <f t="shared" si="24"/>
        <v>0</v>
      </c>
      <c r="U88" s="209"/>
      <c r="V88" s="218">
        <f t="shared" si="20"/>
        <v>0</v>
      </c>
      <c r="W88" s="150">
        <f t="shared" si="25"/>
        <v>0</v>
      </c>
    </row>
    <row r="89" spans="1:23" s="109" customFormat="1" ht="30.75" customHeight="1" thickBot="1">
      <c r="A89" s="214" t="s">
        <v>147</v>
      </c>
      <c r="B89" s="177"/>
      <c r="D89" s="203">
        <v>13521915</v>
      </c>
      <c r="E89" s="71"/>
      <c r="F89" s="71">
        <v>0</v>
      </c>
      <c r="G89" s="71"/>
      <c r="H89" s="71">
        <f t="shared" si="21"/>
        <v>13521915</v>
      </c>
      <c r="I89" s="71"/>
      <c r="J89" s="71">
        <v>1431564389.1509433</v>
      </c>
      <c r="K89" s="71"/>
      <c r="L89" s="71">
        <v>0</v>
      </c>
      <c r="M89" s="71"/>
      <c r="N89" s="71">
        <f t="shared" si="22"/>
        <v>1431564389.1509433</v>
      </c>
      <c r="O89" s="278" t="str">
        <f>A89</f>
        <v>اقتصاد نوین 124283686748039</v>
      </c>
      <c r="P89" s="88">
        <v>0.22500000000000001</v>
      </c>
      <c r="Q89" s="71">
        <v>0</v>
      </c>
      <c r="R89" s="225">
        <v>0.28999999999999998</v>
      </c>
      <c r="S89" s="209">
        <f>Q89*P89/R89</f>
        <v>0</v>
      </c>
      <c r="T89" s="209">
        <f t="shared" si="24"/>
        <v>0</v>
      </c>
      <c r="U89" s="209"/>
      <c r="V89" s="218">
        <f t="shared" si="20"/>
        <v>0</v>
      </c>
      <c r="W89" s="150">
        <f t="shared" si="25"/>
        <v>0</v>
      </c>
    </row>
    <row r="90" spans="1:23" s="109" customFormat="1" ht="30.75" customHeight="1" thickBot="1">
      <c r="A90" s="214" t="s">
        <v>358</v>
      </c>
      <c r="B90" s="177"/>
      <c r="D90" s="80">
        <v>1049243.3653846155</v>
      </c>
      <c r="E90" s="71"/>
      <c r="F90" s="71">
        <v>0</v>
      </c>
      <c r="G90" s="71"/>
      <c r="H90" s="71">
        <f t="shared" si="21"/>
        <v>1049243.3653846155</v>
      </c>
      <c r="I90" s="71"/>
      <c r="J90" s="71">
        <v>1049243.3653846155</v>
      </c>
      <c r="K90" s="71"/>
      <c r="L90" s="71">
        <v>0</v>
      </c>
      <c r="M90" s="71"/>
      <c r="N90" s="71">
        <f t="shared" si="22"/>
        <v>1049243.3653846155</v>
      </c>
      <c r="O90" s="278" t="str">
        <f t="shared" si="23"/>
        <v>اقتصاد نوین 124.283.6867480.30</v>
      </c>
      <c r="P90" s="93">
        <v>0.22500000000000001</v>
      </c>
      <c r="Q90" s="71">
        <v>0</v>
      </c>
      <c r="R90" s="218">
        <v>0.28999999999999998</v>
      </c>
      <c r="S90" s="209">
        <f t="shared" si="17"/>
        <v>0</v>
      </c>
      <c r="T90" s="209">
        <f t="shared" si="24"/>
        <v>0</v>
      </c>
      <c r="U90" s="209"/>
      <c r="V90" s="218">
        <f t="shared" si="20"/>
        <v>0</v>
      </c>
      <c r="W90" s="150">
        <f t="shared" si="25"/>
        <v>0</v>
      </c>
    </row>
    <row r="91" spans="1:23" s="109" customFormat="1" ht="30.75" customHeight="1" thickBot="1">
      <c r="A91" s="214" t="s">
        <v>359</v>
      </c>
      <c r="B91" s="177"/>
      <c r="D91" s="203">
        <v>6827283.173076923</v>
      </c>
      <c r="E91" s="71"/>
      <c r="F91" s="71">
        <v>0</v>
      </c>
      <c r="G91" s="71"/>
      <c r="H91" s="71">
        <f t="shared" si="21"/>
        <v>6827283.173076923</v>
      </c>
      <c r="I91" s="71"/>
      <c r="J91" s="71">
        <v>6827283.173076923</v>
      </c>
      <c r="K91" s="71"/>
      <c r="L91" s="71">
        <v>0</v>
      </c>
      <c r="M91" s="71"/>
      <c r="N91" s="71">
        <f t="shared" si="22"/>
        <v>6827283.173076923</v>
      </c>
      <c r="O91" s="278" t="str">
        <f t="shared" si="23"/>
        <v>اقتصاد نوین 124.283.6867480.29</v>
      </c>
      <c r="P91" s="93">
        <v>0.22500000000000001</v>
      </c>
      <c r="Q91" s="71">
        <v>6041059</v>
      </c>
      <c r="R91" s="225">
        <v>0.27</v>
      </c>
      <c r="S91" s="209">
        <f t="shared" ref="S91:S115" si="26">Q91*P91/R91</f>
        <v>5034215.833333334</v>
      </c>
      <c r="T91" s="209">
        <f>Q91-S91</f>
        <v>1006843.166666666</v>
      </c>
      <c r="U91" s="209"/>
      <c r="V91" s="218">
        <f t="shared" si="20"/>
        <v>-1006843.166666666</v>
      </c>
      <c r="W91" s="150">
        <f t="shared" si="25"/>
        <v>1006843.166666666</v>
      </c>
    </row>
    <row r="92" spans="1:23" s="109" customFormat="1" ht="30.75" customHeight="1" thickBot="1">
      <c r="A92" s="214" t="s">
        <v>360</v>
      </c>
      <c r="B92" s="177"/>
      <c r="D92" s="203">
        <v>15487729.615384616</v>
      </c>
      <c r="E92" s="71"/>
      <c r="F92" s="71">
        <v>0</v>
      </c>
      <c r="G92" s="71"/>
      <c r="H92" s="71">
        <f t="shared" si="21"/>
        <v>15487729.615384616</v>
      </c>
      <c r="I92" s="71"/>
      <c r="J92" s="175">
        <v>15487729.615384616</v>
      </c>
      <c r="K92" s="71"/>
      <c r="L92" s="71">
        <v>0</v>
      </c>
      <c r="M92" s="71"/>
      <c r="N92" s="71">
        <f t="shared" si="22"/>
        <v>15487729.615384616</v>
      </c>
      <c r="O92" s="278" t="str">
        <f t="shared" si="23"/>
        <v>اقتصاد نوین 124.283.6867480.28</v>
      </c>
      <c r="P92" s="93">
        <v>0.22500000000000001</v>
      </c>
      <c r="Q92" s="71">
        <v>2521955</v>
      </c>
      <c r="R92" s="225">
        <v>0.26500000000000001</v>
      </c>
      <c r="S92" s="209">
        <f t="shared" si="26"/>
        <v>2141282.5471698111</v>
      </c>
      <c r="T92" s="209">
        <f t="shared" ref="T92:T94" si="27">Q92-S92</f>
        <v>380672.45283018891</v>
      </c>
      <c r="U92" s="209"/>
      <c r="V92" s="218">
        <f t="shared" si="20"/>
        <v>-380672.45283018891</v>
      </c>
      <c r="W92" s="150">
        <f t="shared" si="25"/>
        <v>380672.45283018891</v>
      </c>
    </row>
    <row r="93" spans="1:23" s="109" customFormat="1" ht="30.75" customHeight="1" thickBot="1">
      <c r="A93" s="214" t="s">
        <v>361</v>
      </c>
      <c r="B93" s="177"/>
      <c r="D93" s="203">
        <v>2364422.884615385</v>
      </c>
      <c r="E93" s="71"/>
      <c r="F93" s="71">
        <v>0</v>
      </c>
      <c r="G93" s="71"/>
      <c r="H93" s="71">
        <f t="shared" si="21"/>
        <v>2364422.884615385</v>
      </c>
      <c r="I93" s="71"/>
      <c r="J93" s="71">
        <v>2364422.884615385</v>
      </c>
      <c r="K93" s="71"/>
      <c r="L93" s="71">
        <v>0</v>
      </c>
      <c r="M93" s="71"/>
      <c r="N93" s="71">
        <f t="shared" si="22"/>
        <v>2364422.884615385</v>
      </c>
      <c r="O93" s="278" t="str">
        <f t="shared" si="23"/>
        <v>اقتصاد نوین 124.283.6867480.27</v>
      </c>
      <c r="P93" s="93">
        <v>0.22500000000000001</v>
      </c>
      <c r="Q93" s="71">
        <v>23912626</v>
      </c>
      <c r="R93" s="218">
        <v>0.27</v>
      </c>
      <c r="S93" s="209">
        <f t="shared" si="26"/>
        <v>19927188.333333336</v>
      </c>
      <c r="T93" s="209">
        <f t="shared" si="27"/>
        <v>3985437.6666666642</v>
      </c>
      <c r="U93" s="209"/>
      <c r="V93" s="218">
        <f t="shared" ref="V93:V96" si="28">S93-Q93</f>
        <v>-3985437.6666666642</v>
      </c>
      <c r="W93" s="150">
        <f t="shared" si="25"/>
        <v>3985437.6666666642</v>
      </c>
    </row>
    <row r="94" spans="1:23" s="109" customFormat="1" ht="30.75" customHeight="1" thickBot="1">
      <c r="A94" s="214" t="s">
        <v>362</v>
      </c>
      <c r="B94" s="177"/>
      <c r="D94" s="80">
        <v>6712181.826923077</v>
      </c>
      <c r="E94" s="71"/>
      <c r="F94" s="71">
        <v>0</v>
      </c>
      <c r="G94" s="71"/>
      <c r="H94" s="71">
        <f t="shared" si="21"/>
        <v>6712181.826923077</v>
      </c>
      <c r="I94" s="71"/>
      <c r="J94" s="71">
        <v>6712181.826923077</v>
      </c>
      <c r="K94" s="71"/>
      <c r="L94" s="71">
        <v>0</v>
      </c>
      <c r="M94" s="71"/>
      <c r="N94" s="71">
        <f t="shared" si="22"/>
        <v>6712181.826923077</v>
      </c>
      <c r="O94" s="278" t="str">
        <f t="shared" si="23"/>
        <v>اقتصاد نوین 124.283.6867480.26</v>
      </c>
      <c r="P94" s="93">
        <v>0.22500000000000001</v>
      </c>
      <c r="Q94" s="71">
        <v>1448016</v>
      </c>
      <c r="R94" s="225">
        <v>0.26500000000000001</v>
      </c>
      <c r="S94" s="209">
        <f t="shared" si="26"/>
        <v>1229447.5471698113</v>
      </c>
      <c r="T94" s="209">
        <f t="shared" si="27"/>
        <v>218568.45283018867</v>
      </c>
      <c r="U94" s="209"/>
      <c r="V94" s="218">
        <f t="shared" si="28"/>
        <v>-218568.45283018867</v>
      </c>
      <c r="W94" s="150">
        <f t="shared" si="25"/>
        <v>218568.45283018867</v>
      </c>
    </row>
    <row r="95" spans="1:23" s="109" customFormat="1" ht="30.75" customHeight="1" thickBot="1">
      <c r="A95" s="214" t="s">
        <v>363</v>
      </c>
      <c r="B95" s="177"/>
      <c r="D95" s="203">
        <v>863432.30769230763</v>
      </c>
      <c r="E95" s="71"/>
      <c r="F95" s="71">
        <v>0</v>
      </c>
      <c r="G95" s="71"/>
      <c r="H95" s="71">
        <f t="shared" si="21"/>
        <v>863432.30769230763</v>
      </c>
      <c r="I95" s="71"/>
      <c r="J95" s="71">
        <v>863432.30769230763</v>
      </c>
      <c r="K95" s="71"/>
      <c r="L95" s="71">
        <v>0</v>
      </c>
      <c r="M95" s="71"/>
      <c r="N95" s="71">
        <f t="shared" si="22"/>
        <v>863432.30769230763</v>
      </c>
      <c r="O95" s="278" t="str">
        <f t="shared" si="23"/>
        <v>اقتصاد نوین 124.283.6867480.25</v>
      </c>
      <c r="P95" s="93">
        <v>0.22500000000000001</v>
      </c>
      <c r="Q95" s="71">
        <v>7938978</v>
      </c>
      <c r="R95" s="218">
        <v>0.26500000000000001</v>
      </c>
      <c r="S95" s="209">
        <f t="shared" si="26"/>
        <v>6740641.6981132077</v>
      </c>
      <c r="T95" s="209">
        <f>Q95-S95</f>
        <v>1198336.3018867923</v>
      </c>
      <c r="U95" s="209"/>
      <c r="V95" s="218">
        <f t="shared" si="28"/>
        <v>-1198336.3018867923</v>
      </c>
      <c r="W95" s="150">
        <f t="shared" si="25"/>
        <v>1198336.3018867923</v>
      </c>
    </row>
    <row r="96" spans="1:23" s="109" customFormat="1" ht="30.75" customHeight="1" thickBot="1">
      <c r="A96" s="214" t="s">
        <v>364</v>
      </c>
      <c r="B96" s="177"/>
      <c r="D96" s="203">
        <v>1920928.846153846</v>
      </c>
      <c r="E96" s="71"/>
      <c r="F96" s="71">
        <v>0</v>
      </c>
      <c r="G96" s="71"/>
      <c r="H96" s="71">
        <f t="shared" si="21"/>
        <v>1920928.846153846</v>
      </c>
      <c r="I96" s="71"/>
      <c r="J96" s="71">
        <v>1920928.846153846</v>
      </c>
      <c r="K96" s="71"/>
      <c r="L96" s="71">
        <v>0</v>
      </c>
      <c r="M96" s="71"/>
      <c r="N96" s="71">
        <f t="shared" si="22"/>
        <v>1920928.846153846</v>
      </c>
      <c r="O96" s="285" t="str">
        <f t="shared" si="23"/>
        <v>اقتصاد نوین 124.283.6867480.24</v>
      </c>
      <c r="P96" s="287">
        <v>0.22500000000000001</v>
      </c>
      <c r="Q96" s="285">
        <v>6731718</v>
      </c>
      <c r="R96" s="288">
        <v>0.26500000000000001</v>
      </c>
      <c r="S96" s="209">
        <f t="shared" si="26"/>
        <v>5715609.6226415094</v>
      </c>
      <c r="T96" s="209">
        <f t="shared" ref="T96:T115" si="29">Q96-S96</f>
        <v>1016108.3773584906</v>
      </c>
      <c r="U96" s="209"/>
      <c r="V96" s="218">
        <f t="shared" si="28"/>
        <v>-1016108.3773584906</v>
      </c>
      <c r="W96" s="150">
        <f t="shared" si="25"/>
        <v>1016108.3773584906</v>
      </c>
    </row>
    <row r="97" spans="1:23" s="109" customFormat="1" ht="30.75" customHeight="1">
      <c r="A97" s="214" t="s">
        <v>365</v>
      </c>
      <c r="B97" s="177"/>
      <c r="D97" s="80">
        <v>2577493.557692308</v>
      </c>
      <c r="E97" s="71"/>
      <c r="F97" s="71">
        <v>0</v>
      </c>
      <c r="G97" s="71"/>
      <c r="H97" s="71">
        <f t="shared" si="21"/>
        <v>2577493.557692308</v>
      </c>
      <c r="I97" s="71"/>
      <c r="J97" s="71">
        <v>2577493.557692308</v>
      </c>
      <c r="K97" s="71"/>
      <c r="L97" s="71">
        <v>0</v>
      </c>
      <c r="M97" s="71"/>
      <c r="N97" s="71">
        <f t="shared" si="22"/>
        <v>2577493.557692308</v>
      </c>
      <c r="O97" s="285" t="str">
        <f t="shared" si="23"/>
        <v>اقتصاد نوین 124.283.6867480.23</v>
      </c>
      <c r="P97" s="287">
        <v>0.22500000000000001</v>
      </c>
      <c r="Q97" s="285">
        <v>9807083</v>
      </c>
      <c r="R97" s="289">
        <v>0.26500000000000001</v>
      </c>
      <c r="S97" s="209">
        <f t="shared" si="26"/>
        <v>8326768.5849056607</v>
      </c>
      <c r="T97" s="209">
        <f t="shared" si="29"/>
        <v>1480314.4150943393</v>
      </c>
      <c r="U97" s="209"/>
      <c r="V97" s="218">
        <f t="shared" ref="V97" si="30">S97-Q97</f>
        <v>-1480314.4150943393</v>
      </c>
      <c r="W97" s="150">
        <f t="shared" si="25"/>
        <v>1480314.4150943393</v>
      </c>
    </row>
    <row r="98" spans="1:23" s="109" customFormat="1" ht="30.75" customHeight="1">
      <c r="A98" s="214" t="s">
        <v>366</v>
      </c>
      <c r="B98" s="177"/>
      <c r="D98" s="80">
        <v>2114528.3653846155</v>
      </c>
      <c r="E98" s="71"/>
      <c r="F98" s="71">
        <v>0</v>
      </c>
      <c r="G98" s="71"/>
      <c r="H98" s="71">
        <f t="shared" si="21"/>
        <v>2114528.3653846155</v>
      </c>
      <c r="I98" s="71"/>
      <c r="J98" s="71">
        <v>2114528.3653846155</v>
      </c>
      <c r="K98" s="71"/>
      <c r="L98" s="71">
        <v>0</v>
      </c>
      <c r="M98" s="71"/>
      <c r="N98" s="71">
        <f t="shared" si="22"/>
        <v>2114528.3653846155</v>
      </c>
      <c r="O98" s="285" t="str">
        <f t="shared" si="23"/>
        <v>اقتصاد نوین 124.283.6867480.22</v>
      </c>
      <c r="P98" s="287">
        <v>0.22500000000000001</v>
      </c>
      <c r="Q98" s="71">
        <v>5367048</v>
      </c>
      <c r="R98" s="288">
        <v>0.27</v>
      </c>
      <c r="S98" s="209">
        <f t="shared" si="26"/>
        <v>4472540</v>
      </c>
      <c r="T98" s="209">
        <f t="shared" si="29"/>
        <v>894508</v>
      </c>
      <c r="U98" s="209"/>
      <c r="V98" s="218">
        <f t="shared" ref="V98:V115" si="31">S98-Q98</f>
        <v>-894508</v>
      </c>
      <c r="W98" s="150">
        <f t="shared" si="25"/>
        <v>894508</v>
      </c>
    </row>
    <row r="99" spans="1:23" s="109" customFormat="1" ht="30.75" customHeight="1" thickBot="1">
      <c r="A99" s="214" t="s">
        <v>367</v>
      </c>
      <c r="B99" s="177"/>
      <c r="D99" s="80">
        <v>28501490.769230772</v>
      </c>
      <c r="E99" s="71"/>
      <c r="F99" s="71">
        <v>0</v>
      </c>
      <c r="G99" s="71"/>
      <c r="H99" s="71">
        <f t="shared" si="21"/>
        <v>28501490.769230772</v>
      </c>
      <c r="I99" s="71"/>
      <c r="J99" s="71">
        <v>28501490.769230772</v>
      </c>
      <c r="K99" s="71"/>
      <c r="L99" s="71">
        <v>0</v>
      </c>
      <c r="M99" s="71"/>
      <c r="N99" s="71">
        <f t="shared" si="22"/>
        <v>28501490.769230772</v>
      </c>
      <c r="O99" s="278" t="str">
        <f>A99</f>
        <v>اقتصاد نوین 124.283.6867480.20</v>
      </c>
      <c r="P99" s="287">
        <v>0.22500000000000001</v>
      </c>
      <c r="Q99" s="71">
        <v>0</v>
      </c>
      <c r="R99" s="225">
        <v>0.28999999999999998</v>
      </c>
      <c r="S99" s="209">
        <f t="shared" si="26"/>
        <v>0</v>
      </c>
      <c r="T99" s="209">
        <f t="shared" si="29"/>
        <v>0</v>
      </c>
      <c r="U99" s="209"/>
      <c r="V99" s="218">
        <f>S99-Q99</f>
        <v>0</v>
      </c>
      <c r="W99" s="150">
        <f t="shared" si="25"/>
        <v>0</v>
      </c>
    </row>
    <row r="100" spans="1:23" s="109" customFormat="1" ht="30.75" customHeight="1" thickBot="1">
      <c r="A100" s="214" t="s">
        <v>368</v>
      </c>
      <c r="B100" s="177"/>
      <c r="D100" s="203">
        <v>1834881.7924528301</v>
      </c>
      <c r="E100" s="71"/>
      <c r="F100" s="71">
        <v>0</v>
      </c>
      <c r="G100" s="71"/>
      <c r="H100" s="71">
        <f t="shared" si="21"/>
        <v>1834881.7924528301</v>
      </c>
      <c r="I100" s="71"/>
      <c r="J100" s="71">
        <v>1834881.7924528301</v>
      </c>
      <c r="K100" s="71"/>
      <c r="L100" s="71">
        <v>0</v>
      </c>
      <c r="M100" s="71"/>
      <c r="N100" s="71">
        <f t="shared" si="22"/>
        <v>1834881.7924528301</v>
      </c>
      <c r="O100" s="278" t="str">
        <f t="shared" ref="O100:O115" si="32">A100</f>
        <v>اقتصاد نوین - 124283686748037</v>
      </c>
      <c r="P100" s="93">
        <v>0.22500000000000001</v>
      </c>
      <c r="Q100" s="71">
        <v>15925811</v>
      </c>
      <c r="R100" s="225">
        <v>0.26500000000000001</v>
      </c>
      <c r="S100" s="209">
        <f t="shared" ref="S100:S113" si="33">Q100*P100/R100</f>
        <v>13521915</v>
      </c>
      <c r="T100" s="209">
        <f t="shared" si="29"/>
        <v>2403896</v>
      </c>
      <c r="U100" s="209"/>
      <c r="V100" s="218">
        <f t="shared" ref="V100:V112" si="34">S100-Q100</f>
        <v>-2403896</v>
      </c>
      <c r="W100" s="150">
        <f t="shared" ref="W100:W113" si="35">Q100-S100</f>
        <v>2403896</v>
      </c>
    </row>
    <row r="101" spans="1:23" s="109" customFormat="1" ht="30.75" customHeight="1" thickBot="1">
      <c r="A101" s="214" t="s">
        <v>369</v>
      </c>
      <c r="B101" s="177"/>
      <c r="D101" s="203">
        <v>9087653.2075471692</v>
      </c>
      <c r="E101" s="71"/>
      <c r="F101" s="71">
        <v>0</v>
      </c>
      <c r="G101" s="71"/>
      <c r="H101" s="71">
        <f t="shared" si="21"/>
        <v>9087653.2075471692</v>
      </c>
      <c r="I101" s="71"/>
      <c r="J101" s="71">
        <v>9087653.2075471692</v>
      </c>
      <c r="K101" s="71"/>
      <c r="L101" s="71">
        <v>0</v>
      </c>
      <c r="M101" s="71"/>
      <c r="N101" s="71">
        <f t="shared" si="22"/>
        <v>9087653.2075471692</v>
      </c>
      <c r="O101" s="278" t="str">
        <f t="shared" si="32"/>
        <v>اقتصاد نوین- 31-6867480-283-124</v>
      </c>
      <c r="P101" s="93">
        <v>0.22500000000000001</v>
      </c>
      <c r="Q101" s="71">
        <v>1212459</v>
      </c>
      <c r="R101" s="225">
        <v>0.26</v>
      </c>
      <c r="S101" s="209">
        <f t="shared" si="33"/>
        <v>1049243.3653846155</v>
      </c>
      <c r="T101" s="209">
        <f t="shared" si="29"/>
        <v>163215.63461538451</v>
      </c>
      <c r="U101" s="209"/>
      <c r="V101" s="218">
        <f t="shared" si="34"/>
        <v>-163215.63461538451</v>
      </c>
      <c r="W101" s="150">
        <f t="shared" si="35"/>
        <v>163215.63461538451</v>
      </c>
    </row>
    <row r="102" spans="1:23" s="109" customFormat="1" ht="30.75" customHeight="1" thickBot="1">
      <c r="A102" s="214" t="s">
        <v>370</v>
      </c>
      <c r="B102" s="177"/>
      <c r="D102" s="203">
        <v>2643495.283018868</v>
      </c>
      <c r="E102" s="71"/>
      <c r="F102" s="71">
        <v>0</v>
      </c>
      <c r="G102" s="71"/>
      <c r="H102" s="71">
        <f t="shared" si="21"/>
        <v>2643495.283018868</v>
      </c>
      <c r="I102" s="71"/>
      <c r="J102" s="175">
        <v>2643495.283018868</v>
      </c>
      <c r="K102" s="71"/>
      <c r="L102" s="71">
        <v>0</v>
      </c>
      <c r="M102" s="71"/>
      <c r="N102" s="71">
        <f t="shared" si="22"/>
        <v>2643495.283018868</v>
      </c>
      <c r="O102" s="278" t="str">
        <f t="shared" si="32"/>
        <v>اقتصاد نوین- 124.283.6867480.35</v>
      </c>
      <c r="P102" s="93">
        <v>0.22500000000000001</v>
      </c>
      <c r="Q102" s="71">
        <v>7889305</v>
      </c>
      <c r="R102" s="218">
        <v>0.26</v>
      </c>
      <c r="S102" s="209">
        <f t="shared" si="33"/>
        <v>6827283.173076923</v>
      </c>
      <c r="T102" s="209">
        <f t="shared" si="29"/>
        <v>1062021.826923077</v>
      </c>
      <c r="U102" s="209"/>
      <c r="V102" s="218">
        <f t="shared" si="34"/>
        <v>-1062021.826923077</v>
      </c>
      <c r="W102" s="150">
        <f t="shared" si="35"/>
        <v>1062021.826923077</v>
      </c>
    </row>
    <row r="103" spans="1:23" s="109" customFormat="1" ht="30.75" customHeight="1" thickBot="1">
      <c r="A103" s="214" t="s">
        <v>104</v>
      </c>
      <c r="B103" s="177"/>
      <c r="D103" s="80">
        <f>368382+25639338</f>
        <v>26007720</v>
      </c>
      <c r="E103" s="71"/>
      <c r="F103" s="71">
        <v>0</v>
      </c>
      <c r="G103" s="71"/>
      <c r="H103" s="71">
        <f t="shared" si="21"/>
        <v>26007720</v>
      </c>
      <c r="I103" s="71"/>
      <c r="J103" s="71">
        <f>412245+7524220368</f>
        <v>7524632613</v>
      </c>
      <c r="K103" s="71"/>
      <c r="L103" s="71">
        <v>0</v>
      </c>
      <c r="M103" s="71"/>
      <c r="N103" s="71">
        <f t="shared" si="22"/>
        <v>7524632613</v>
      </c>
      <c r="O103" s="278" t="str">
        <f t="shared" si="32"/>
        <v xml:space="preserve">اقتصاد نوین کوتاه مدت-12485068674801	</v>
      </c>
      <c r="P103" s="93">
        <v>0.22500000000000001</v>
      </c>
      <c r="Q103" s="71">
        <v>17896932</v>
      </c>
      <c r="R103" s="225">
        <v>0.26</v>
      </c>
      <c r="S103" s="209">
        <f t="shared" si="33"/>
        <v>15487729.615384616</v>
      </c>
      <c r="T103" s="209">
        <f t="shared" si="29"/>
        <v>2409202.384615384</v>
      </c>
      <c r="U103" s="209"/>
      <c r="V103" s="218">
        <f t="shared" si="34"/>
        <v>-2409202.384615384</v>
      </c>
      <c r="W103" s="150">
        <f t="shared" si="35"/>
        <v>2409202.384615384</v>
      </c>
    </row>
    <row r="104" spans="1:23" s="109" customFormat="1" ht="30.75" customHeight="1" thickBot="1">
      <c r="A104" s="214" t="s">
        <v>106</v>
      </c>
      <c r="B104" s="177"/>
      <c r="D104" s="203">
        <v>28888538</v>
      </c>
      <c r="E104" s="80"/>
      <c r="F104" s="80">
        <v>0</v>
      </c>
      <c r="G104" s="80"/>
      <c r="H104" s="71">
        <f t="shared" si="21"/>
        <v>28888538</v>
      </c>
      <c r="I104" s="80"/>
      <c r="J104" s="175">
        <v>44377044</v>
      </c>
      <c r="K104" s="71"/>
      <c r="L104" s="80">
        <v>0</v>
      </c>
      <c r="M104" s="71"/>
      <c r="N104" s="71">
        <f t="shared" si="22"/>
        <v>44377044</v>
      </c>
      <c r="O104" s="278" t="str">
        <f t="shared" si="32"/>
        <v xml:space="preserve"> خاور میانه کوتاه مدت-100510810707074272	</v>
      </c>
      <c r="P104" s="93">
        <v>0.22500000000000001</v>
      </c>
      <c r="Q104" s="71">
        <v>2732222</v>
      </c>
      <c r="R104" s="218">
        <v>0.26</v>
      </c>
      <c r="S104" s="209">
        <f t="shared" si="33"/>
        <v>2364422.884615385</v>
      </c>
      <c r="T104" s="209">
        <f t="shared" si="29"/>
        <v>367799.11538461503</v>
      </c>
      <c r="U104" s="209"/>
      <c r="V104" s="218">
        <f t="shared" si="34"/>
        <v>-367799.11538461503</v>
      </c>
      <c r="W104" s="150">
        <f t="shared" si="35"/>
        <v>367799.11538461503</v>
      </c>
    </row>
    <row r="105" spans="1:23" s="109" customFormat="1" ht="30.75" customHeight="1" thickBot="1">
      <c r="A105" s="214" t="s">
        <v>226</v>
      </c>
      <c r="B105" s="177"/>
      <c r="D105" s="203">
        <v>4720068</v>
      </c>
      <c r="E105" s="71"/>
      <c r="F105" s="71">
        <v>0</v>
      </c>
      <c r="G105" s="71"/>
      <c r="H105" s="71">
        <f t="shared" si="21"/>
        <v>4720068</v>
      </c>
      <c r="I105" s="71"/>
      <c r="J105" s="175">
        <v>32319237</v>
      </c>
      <c r="K105" s="71"/>
      <c r="L105" s="71">
        <v>-85704</v>
      </c>
      <c r="M105" s="71"/>
      <c r="N105" s="71">
        <f t="shared" si="22"/>
        <v>32233533</v>
      </c>
      <c r="O105" s="285" t="str">
        <f t="shared" si="32"/>
        <v>بانک شهر 7001003375223</v>
      </c>
      <c r="P105" s="93">
        <v>0.22500000000000001</v>
      </c>
      <c r="Q105" s="285">
        <v>7756299</v>
      </c>
      <c r="R105" s="288">
        <v>0.26</v>
      </c>
      <c r="S105" s="209">
        <f t="shared" si="33"/>
        <v>6712181.826923077</v>
      </c>
      <c r="T105" s="209">
        <f t="shared" si="29"/>
        <v>1044117.173076923</v>
      </c>
      <c r="U105" s="209"/>
      <c r="V105" s="218">
        <f t="shared" si="34"/>
        <v>-1044117.173076923</v>
      </c>
      <c r="W105" s="150">
        <f t="shared" si="35"/>
        <v>1044117.173076923</v>
      </c>
    </row>
    <row r="106" spans="1:23" s="109" customFormat="1" ht="30.75" customHeight="1">
      <c r="A106" s="214" t="s">
        <v>286</v>
      </c>
      <c r="B106" s="177"/>
      <c r="D106" s="71">
        <v>19835753</v>
      </c>
      <c r="E106" s="71"/>
      <c r="F106" s="71">
        <v>0</v>
      </c>
      <c r="G106" s="71"/>
      <c r="H106" s="71">
        <f t="shared" si="21"/>
        <v>19835753</v>
      </c>
      <c r="I106" s="71"/>
      <c r="J106" s="71">
        <v>72304519</v>
      </c>
      <c r="K106" s="71"/>
      <c r="L106" s="71">
        <v>-360165</v>
      </c>
      <c r="M106" s="71"/>
      <c r="N106" s="71">
        <f t="shared" si="22"/>
        <v>71944354</v>
      </c>
      <c r="O106" s="285" t="str">
        <f t="shared" si="32"/>
        <v>بانک شهر 7001003694364</v>
      </c>
      <c r="P106" s="93">
        <v>0.22500000000000001</v>
      </c>
      <c r="Q106" s="285">
        <v>997744</v>
      </c>
      <c r="R106" s="288">
        <v>0.26</v>
      </c>
      <c r="S106" s="209">
        <f t="shared" ref="S106:S109" si="36">Q106*P106/R106</f>
        <v>863432.30769230763</v>
      </c>
      <c r="T106" s="209">
        <f t="shared" si="29"/>
        <v>134311.69230769237</v>
      </c>
      <c r="U106" s="209"/>
      <c r="V106" s="218">
        <f t="shared" ref="V106:V109" si="37">S106-Q106</f>
        <v>-134311.69230769237</v>
      </c>
      <c r="W106" s="150">
        <f t="shared" ref="W106:W109" si="38">Q106-S106</f>
        <v>134311.69230769237</v>
      </c>
    </row>
    <row r="107" spans="1:23" s="109" customFormat="1" ht="30.75" customHeight="1">
      <c r="A107" s="214" t="s">
        <v>282</v>
      </c>
      <c r="B107" s="177"/>
      <c r="D107" s="80">
        <v>37569452</v>
      </c>
      <c r="E107" s="71"/>
      <c r="F107" s="71">
        <v>0</v>
      </c>
      <c r="G107" s="71"/>
      <c r="H107" s="71">
        <f t="shared" si="21"/>
        <v>37569452</v>
      </c>
      <c r="I107" s="71"/>
      <c r="J107" s="71">
        <v>136946718</v>
      </c>
      <c r="K107" s="71"/>
      <c r="L107" s="71">
        <v>-682162</v>
      </c>
      <c r="M107" s="71"/>
      <c r="N107" s="71">
        <f t="shared" si="22"/>
        <v>136264556</v>
      </c>
      <c r="O107" s="285" t="str">
        <f t="shared" si="32"/>
        <v>بانک شهر 7001003694404</v>
      </c>
      <c r="P107" s="93">
        <v>0.22500000000000001</v>
      </c>
      <c r="Q107" s="285">
        <v>2219740</v>
      </c>
      <c r="R107" s="288">
        <v>0.26</v>
      </c>
      <c r="S107" s="209">
        <f t="shared" si="36"/>
        <v>1920928.846153846</v>
      </c>
      <c r="T107" s="209">
        <f t="shared" si="29"/>
        <v>298811.15384615399</v>
      </c>
      <c r="U107" s="209"/>
      <c r="V107" s="218">
        <f t="shared" si="37"/>
        <v>-298811.15384615399</v>
      </c>
      <c r="W107" s="150">
        <f t="shared" si="38"/>
        <v>298811.15384615399</v>
      </c>
    </row>
    <row r="108" spans="1:23" s="109" customFormat="1" ht="30.75" customHeight="1">
      <c r="A108" s="214" t="s">
        <v>221</v>
      </c>
      <c r="B108" s="177"/>
      <c r="D108" s="80">
        <v>37836986</v>
      </c>
      <c r="E108" s="71"/>
      <c r="F108" s="71">
        <v>0</v>
      </c>
      <c r="G108" s="71"/>
      <c r="H108" s="71">
        <f t="shared" si="21"/>
        <v>37836986</v>
      </c>
      <c r="I108" s="71"/>
      <c r="J108" s="175">
        <v>258817809</v>
      </c>
      <c r="K108" s="71"/>
      <c r="L108" s="71">
        <v>-687020</v>
      </c>
      <c r="M108" s="71"/>
      <c r="N108" s="71">
        <f t="shared" si="22"/>
        <v>258130789</v>
      </c>
      <c r="O108" s="285" t="str">
        <f t="shared" si="32"/>
        <v>بانک شهر 7001003374403</v>
      </c>
      <c r="P108" s="93">
        <v>0.22500000000000001</v>
      </c>
      <c r="Q108" s="285">
        <v>2978437</v>
      </c>
      <c r="R108" s="288">
        <v>0.26</v>
      </c>
      <c r="S108" s="209">
        <f t="shared" si="36"/>
        <v>2577493.557692308</v>
      </c>
      <c r="T108" s="209">
        <f t="shared" si="29"/>
        <v>400943.44230769202</v>
      </c>
      <c r="U108" s="209"/>
      <c r="V108" s="218">
        <f t="shared" si="37"/>
        <v>-400943.44230769202</v>
      </c>
      <c r="W108" s="150">
        <f t="shared" si="38"/>
        <v>400943.44230769202</v>
      </c>
    </row>
    <row r="109" spans="1:23" s="109" customFormat="1" ht="30.75" customHeight="1">
      <c r="A109" s="214" t="s">
        <v>228</v>
      </c>
      <c r="B109" s="177"/>
      <c r="D109" s="80">
        <v>39652397</v>
      </c>
      <c r="E109" s="71"/>
      <c r="F109" s="71">
        <v>0</v>
      </c>
      <c r="G109" s="71"/>
      <c r="H109" s="71">
        <f t="shared" si="21"/>
        <v>39652397</v>
      </c>
      <c r="I109" s="71"/>
      <c r="J109" s="71">
        <v>260938368</v>
      </c>
      <c r="K109" s="71"/>
      <c r="L109" s="71">
        <v>-719983</v>
      </c>
      <c r="M109" s="71"/>
      <c r="N109" s="71">
        <f t="shared" si="22"/>
        <v>260218385</v>
      </c>
      <c r="O109" s="285" t="str">
        <f t="shared" si="32"/>
        <v>بانک شهر 7001003400925</v>
      </c>
      <c r="P109" s="93">
        <v>0.22500000000000001</v>
      </c>
      <c r="Q109" s="285">
        <v>2443455</v>
      </c>
      <c r="R109" s="288">
        <v>0.26</v>
      </c>
      <c r="S109" s="209">
        <f t="shared" si="36"/>
        <v>2114528.3653846155</v>
      </c>
      <c r="T109" s="209">
        <f t="shared" si="29"/>
        <v>328926.63461538451</v>
      </c>
      <c r="U109" s="209"/>
      <c r="V109" s="218">
        <f t="shared" si="37"/>
        <v>-328926.63461538451</v>
      </c>
      <c r="W109" s="150">
        <f t="shared" si="38"/>
        <v>328926.63461538451</v>
      </c>
    </row>
    <row r="110" spans="1:23" s="109" customFormat="1" ht="30.75" customHeight="1">
      <c r="A110" s="214" t="s">
        <v>231</v>
      </c>
      <c r="B110" s="177"/>
      <c r="D110" s="80">
        <v>41850000</v>
      </c>
      <c r="E110" s="71"/>
      <c r="F110" s="71">
        <v>0</v>
      </c>
      <c r="G110" s="71"/>
      <c r="H110" s="71">
        <f t="shared" si="21"/>
        <v>41850000</v>
      </c>
      <c r="I110" s="71"/>
      <c r="J110" s="175">
        <v>284850000</v>
      </c>
      <c r="K110" s="71"/>
      <c r="L110" s="71">
        <v>-759886</v>
      </c>
      <c r="M110" s="71"/>
      <c r="N110" s="71">
        <f t="shared" si="22"/>
        <v>284090114</v>
      </c>
      <c r="O110" s="285" t="str">
        <f t="shared" si="32"/>
        <v>بانک شهر 7001003374935</v>
      </c>
      <c r="P110" s="93">
        <v>0.22500000000000001</v>
      </c>
      <c r="Q110" s="285">
        <v>32935056</v>
      </c>
      <c r="R110" s="289">
        <v>0.26</v>
      </c>
      <c r="S110" s="209">
        <f t="shared" si="33"/>
        <v>28501490.769230772</v>
      </c>
      <c r="T110" s="209">
        <f t="shared" si="29"/>
        <v>4433565.2307692282</v>
      </c>
      <c r="U110" s="209"/>
      <c r="V110" s="218">
        <f t="shared" si="34"/>
        <v>-4433565.2307692282</v>
      </c>
      <c r="W110" s="150">
        <f t="shared" si="35"/>
        <v>4433565.2307692282</v>
      </c>
    </row>
    <row r="111" spans="1:23" s="109" customFormat="1" ht="30.75" customHeight="1">
      <c r="A111" s="214" t="s">
        <v>225</v>
      </c>
      <c r="B111" s="177"/>
      <c r="D111" s="80">
        <v>51767876</v>
      </c>
      <c r="E111" s="71"/>
      <c r="F111" s="71">
        <v>0</v>
      </c>
      <c r="G111" s="71"/>
      <c r="H111" s="71">
        <f t="shared" si="21"/>
        <v>51767876</v>
      </c>
      <c r="I111" s="71"/>
      <c r="J111" s="71">
        <v>1134579465</v>
      </c>
      <c r="K111" s="71"/>
      <c r="L111" s="71">
        <v>-939968</v>
      </c>
      <c r="M111" s="71"/>
      <c r="N111" s="71">
        <f t="shared" si="22"/>
        <v>1133639497</v>
      </c>
      <c r="O111" s="285" t="str">
        <f t="shared" si="32"/>
        <v>بانک شهر 7001003373974</v>
      </c>
      <c r="P111" s="93">
        <v>0.22500000000000001</v>
      </c>
      <c r="Q111" s="285">
        <v>2161083</v>
      </c>
      <c r="R111" s="289">
        <v>0.26500000000000001</v>
      </c>
      <c r="S111" s="209">
        <f t="shared" si="33"/>
        <v>1834881.7924528301</v>
      </c>
      <c r="T111" s="209">
        <f t="shared" si="29"/>
        <v>326201.20754716988</v>
      </c>
      <c r="U111" s="209"/>
      <c r="V111" s="218">
        <f t="shared" si="34"/>
        <v>-326201.20754716988</v>
      </c>
      <c r="W111" s="150">
        <f t="shared" si="35"/>
        <v>326201.20754716988</v>
      </c>
    </row>
    <row r="112" spans="1:23" s="109" customFormat="1" ht="30.75" customHeight="1">
      <c r="A112" s="214" t="s">
        <v>250</v>
      </c>
      <c r="B112" s="177"/>
      <c r="D112" s="80">
        <v>229315068</v>
      </c>
      <c r="E112" s="71"/>
      <c r="F112" s="71">
        <v>0</v>
      </c>
      <c r="G112" s="71"/>
      <c r="H112" s="71">
        <f t="shared" si="21"/>
        <v>229315068</v>
      </c>
      <c r="I112" s="71"/>
      <c r="J112" s="71">
        <v>1250136976</v>
      </c>
      <c r="K112" s="71"/>
      <c r="L112" s="71">
        <v>-4163757</v>
      </c>
      <c r="M112" s="71"/>
      <c r="N112" s="71">
        <f t="shared" si="22"/>
        <v>1245973219</v>
      </c>
      <c r="O112" s="285" t="str">
        <f t="shared" si="32"/>
        <v>بانک شهر 7001003527830</v>
      </c>
      <c r="P112" s="93">
        <v>0.22500000000000001</v>
      </c>
      <c r="Q112" s="71">
        <v>10703236</v>
      </c>
      <c r="R112" s="288">
        <v>0.26500000000000001</v>
      </c>
      <c r="S112" s="209">
        <f t="shared" si="33"/>
        <v>9087653.2075471692</v>
      </c>
      <c r="T112" s="209">
        <f t="shared" si="29"/>
        <v>1615582.7924528308</v>
      </c>
      <c r="U112" s="209"/>
      <c r="V112" s="218">
        <f t="shared" si="34"/>
        <v>-1615582.7924528308</v>
      </c>
      <c r="W112" s="150">
        <f t="shared" si="35"/>
        <v>1615582.7924528308</v>
      </c>
    </row>
    <row r="113" spans="1:23" s="109" customFormat="1" ht="30.75" customHeight="1">
      <c r="A113" s="214" t="s">
        <v>253</v>
      </c>
      <c r="B113" s="177"/>
      <c r="D113" s="80">
        <v>0</v>
      </c>
      <c r="E113" s="71"/>
      <c r="F113" s="71">
        <v>0</v>
      </c>
      <c r="G113" s="71"/>
      <c r="H113" s="71">
        <f t="shared" si="21"/>
        <v>0</v>
      </c>
      <c r="I113" s="71"/>
      <c r="J113" s="71">
        <v>825800240</v>
      </c>
      <c r="K113" s="71"/>
      <c r="L113" s="71">
        <v>-4914274</v>
      </c>
      <c r="M113" s="71"/>
      <c r="N113" s="71">
        <f t="shared" si="22"/>
        <v>820885966</v>
      </c>
      <c r="O113" s="285" t="str">
        <f t="shared" si="32"/>
        <v>بانک شهر ۷۰۰۱۰۰۳۵۲۷۹۱۸</v>
      </c>
      <c r="P113" s="93">
        <v>0.22500000000000001</v>
      </c>
      <c r="Q113" s="71">
        <v>3113450</v>
      </c>
      <c r="R113" s="225">
        <v>0.26500000000000001</v>
      </c>
      <c r="S113" s="209">
        <f t="shared" si="33"/>
        <v>2643495.283018868</v>
      </c>
      <c r="T113" s="209">
        <f t="shared" si="29"/>
        <v>469954.71698113205</v>
      </c>
      <c r="U113" s="209"/>
      <c r="V113" s="218">
        <f>S113-Q113</f>
        <v>-469954.71698113205</v>
      </c>
      <c r="W113" s="150">
        <f t="shared" si="35"/>
        <v>469954.71698113205</v>
      </c>
    </row>
    <row r="114" spans="1:23" s="109" customFormat="1" ht="30.75" customHeight="1">
      <c r="A114" s="214" t="s">
        <v>268</v>
      </c>
      <c r="B114" s="177"/>
      <c r="D114" s="204">
        <v>935175515</v>
      </c>
      <c r="E114" s="71"/>
      <c r="F114" s="71">
        <v>0</v>
      </c>
      <c r="G114" s="71"/>
      <c r="H114" s="71">
        <f t="shared" si="21"/>
        <v>935175515</v>
      </c>
      <c r="I114" s="71"/>
      <c r="J114" s="204">
        <v>5538449896.000001</v>
      </c>
      <c r="K114" s="71"/>
      <c r="L114" s="71">
        <v>-16980322</v>
      </c>
      <c r="M114" s="71"/>
      <c r="N114" s="71">
        <f t="shared" si="22"/>
        <v>5521469574.000001</v>
      </c>
      <c r="O114" s="285" t="str">
        <f>A114</f>
        <v>بانک شهر ۷۰۰۱۰۰۳۶۳۱۸۷۲</v>
      </c>
      <c r="P114" s="287">
        <v>0.05</v>
      </c>
      <c r="Q114" s="285">
        <v>368382</v>
      </c>
      <c r="R114" s="289">
        <v>0.05</v>
      </c>
      <c r="S114" s="209">
        <f>Q114*P114/R114</f>
        <v>368382</v>
      </c>
      <c r="T114" s="209">
        <f t="shared" si="29"/>
        <v>0</v>
      </c>
      <c r="U114" s="209">
        <f>SUM(T90:T113)</f>
        <v>25639337.838775996</v>
      </c>
      <c r="V114" s="218">
        <f>S114-Q114</f>
        <v>0</v>
      </c>
      <c r="W114" s="150">
        <f>Q114-S114</f>
        <v>0</v>
      </c>
    </row>
    <row r="115" spans="1:23" s="109" customFormat="1" ht="30.75" customHeight="1">
      <c r="A115" s="214" t="s">
        <v>251</v>
      </c>
      <c r="B115" s="177"/>
      <c r="D115" s="71">
        <v>1639249207</v>
      </c>
      <c r="E115" s="71"/>
      <c r="F115" s="71">
        <v>0</v>
      </c>
      <c r="G115" s="71"/>
      <c r="H115" s="71">
        <f t="shared" si="21"/>
        <v>1639249207</v>
      </c>
      <c r="I115" s="71"/>
      <c r="J115" s="71">
        <v>8760790484</v>
      </c>
      <c r="K115" s="71"/>
      <c r="L115" s="71">
        <v>-29764444</v>
      </c>
      <c r="M115" s="71"/>
      <c r="N115" s="71">
        <f t="shared" si="22"/>
        <v>8731026040</v>
      </c>
      <c r="O115" s="285" t="str">
        <f t="shared" si="32"/>
        <v>بانک شهر 7001003556987</v>
      </c>
      <c r="P115" s="88">
        <v>0.05</v>
      </c>
      <c r="Q115" s="71">
        <v>28888538</v>
      </c>
      <c r="R115" s="225">
        <v>0.05</v>
      </c>
      <c r="S115" s="209">
        <f t="shared" si="26"/>
        <v>28888538</v>
      </c>
      <c r="T115" s="209">
        <f t="shared" si="29"/>
        <v>0</v>
      </c>
      <c r="U115" s="209"/>
      <c r="V115" s="141">
        <f t="shared" si="31"/>
        <v>0</v>
      </c>
      <c r="W115" s="141">
        <f t="shared" si="25"/>
        <v>0</v>
      </c>
    </row>
    <row r="116" spans="1:23" s="109" customFormat="1" ht="30.75" customHeight="1" thickBot="1">
      <c r="A116" s="214"/>
      <c r="B116" s="177"/>
      <c r="C116" s="101">
        <f>SUM(C8:C115)</f>
        <v>0</v>
      </c>
      <c r="D116" s="101">
        <f>SUM(D7:D115)</f>
        <v>3934891476.9112239</v>
      </c>
      <c r="E116" s="101">
        <f>SUM(E8:E115)</f>
        <v>0</v>
      </c>
      <c r="F116" s="101">
        <f>SUM(F7:F115)</f>
        <v>0</v>
      </c>
      <c r="G116" s="101">
        <f>SUM(G8:G115)</f>
        <v>0</v>
      </c>
      <c r="H116" s="101">
        <f>SUM(H7:H115)</f>
        <v>3934891476.9112239</v>
      </c>
      <c r="I116" s="101">
        <f>SUM(I8:I115)</f>
        <v>0</v>
      </c>
      <c r="J116" s="101">
        <f>SUM(J7:J115)</f>
        <v>234223412040.94421</v>
      </c>
      <c r="K116" s="71"/>
      <c r="L116" s="101">
        <f>SUM(L7:L115)</f>
        <v>-61243169</v>
      </c>
      <c r="M116" s="71"/>
      <c r="N116" s="101">
        <f>SUM(N7:N115)</f>
        <v>234162168871.94421</v>
      </c>
      <c r="O116" s="80"/>
      <c r="P116" s="80"/>
      <c r="Q116" s="80"/>
      <c r="R116" s="141"/>
      <c r="S116" s="209"/>
      <c r="T116" s="209"/>
      <c r="U116" s="209"/>
      <c r="V116" s="141"/>
      <c r="W116" s="141"/>
    </row>
    <row r="117" spans="1:23" ht="30.75" customHeight="1" thickTop="1">
      <c r="F117" s="282"/>
    </row>
    <row r="118" spans="1:23" ht="30.75" customHeight="1">
      <c r="F118" s="282"/>
    </row>
  </sheetData>
  <autoFilter ref="A6:N116" xr:uid="{00000000-0009-0000-0000-000006000000}">
    <sortState xmlns:xlrd2="http://schemas.microsoft.com/office/spreadsheetml/2017/richdata2" ref="A7:N116">
      <sortCondition descending="1" ref="L6:L116"/>
    </sortState>
  </autoFilter>
  <mergeCells count="6">
    <mergeCell ref="A4:D4"/>
    <mergeCell ref="J5:N5"/>
    <mergeCell ref="A1:N1"/>
    <mergeCell ref="A2:N2"/>
    <mergeCell ref="A3:N3"/>
    <mergeCell ref="D5:H5"/>
  </mergeCells>
  <phoneticPr fontId="55" type="noConversion"/>
  <printOptions horizontalCentered="1"/>
  <pageMargins left="0.25" right="0.25" top="0.75" bottom="0.75" header="0.3" footer="0.3"/>
  <pageSetup paperSize="9" scale="39" fitToHeight="0" orientation="portrait" r:id="rId1"/>
  <rowBreaks count="1" manualBreakCount="1">
    <brk id="56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6EB4-AE23-46F1-A227-5E83822B4F72}">
  <dimension ref="A1:AH53"/>
  <sheetViews>
    <sheetView rightToLeft="1" view="pageBreakPreview" zoomScale="150" zoomScaleNormal="100" zoomScaleSheetLayoutView="150" workbookViewId="0">
      <selection activeCell="C7" sqref="C7"/>
    </sheetView>
  </sheetViews>
  <sheetFormatPr defaultRowHeight="15"/>
  <cols>
    <col min="1" max="1" width="15.85546875" customWidth="1"/>
    <col min="2" max="2" width="14.85546875" customWidth="1"/>
    <col min="3" max="3" width="7.5703125" bestFit="1" customWidth="1"/>
    <col min="4" max="4" width="9.5703125" bestFit="1" customWidth="1"/>
    <col min="5" max="5" width="13.42578125" customWidth="1"/>
    <col min="6" max="6" width="13.85546875" customWidth="1"/>
    <col min="7" max="7" width="8.28515625" customWidth="1"/>
    <col min="8" max="8" width="16.85546875" bestFit="1" customWidth="1"/>
    <col min="9" max="9" width="0.42578125" customWidth="1"/>
  </cols>
  <sheetData>
    <row r="1" spans="1:17" ht="21">
      <c r="A1" s="385" t="s">
        <v>84</v>
      </c>
      <c r="B1" s="385"/>
      <c r="C1" s="385"/>
      <c r="D1" s="385"/>
      <c r="E1" s="385"/>
      <c r="F1" s="385"/>
      <c r="G1" s="385"/>
      <c r="H1" s="385"/>
      <c r="I1" s="385"/>
      <c r="J1" s="246"/>
      <c r="K1" s="246"/>
      <c r="L1" s="246"/>
      <c r="M1" s="246"/>
      <c r="N1" s="246"/>
      <c r="O1" s="246"/>
      <c r="P1" s="246"/>
      <c r="Q1" s="246"/>
    </row>
    <row r="2" spans="1:17" ht="21">
      <c r="A2" s="385" t="s">
        <v>47</v>
      </c>
      <c r="B2" s="385"/>
      <c r="C2" s="385"/>
      <c r="D2" s="385"/>
      <c r="E2" s="385"/>
      <c r="F2" s="385"/>
      <c r="G2" s="385"/>
      <c r="H2" s="385"/>
      <c r="I2" s="385"/>
      <c r="J2" s="246"/>
      <c r="K2" s="246"/>
      <c r="L2" s="246"/>
      <c r="M2" s="246"/>
      <c r="N2" s="246"/>
      <c r="O2" s="246"/>
      <c r="P2" s="246"/>
      <c r="Q2" s="246"/>
    </row>
    <row r="3" spans="1:17" ht="21">
      <c r="A3" s="385" t="str">
        <f>سپرده!A3</f>
        <v>برای ماه منتهی به 1403/05/31</v>
      </c>
      <c r="B3" s="385"/>
      <c r="C3" s="385"/>
      <c r="D3" s="385"/>
      <c r="E3" s="385"/>
      <c r="F3" s="385"/>
      <c r="G3" s="385"/>
      <c r="H3" s="385"/>
      <c r="I3" s="385"/>
      <c r="J3" s="246"/>
      <c r="K3" s="246"/>
      <c r="L3" s="246"/>
      <c r="M3" s="246"/>
      <c r="N3" s="246"/>
      <c r="O3" s="246"/>
      <c r="P3" s="246"/>
      <c r="Q3" s="246"/>
    </row>
    <row r="5" spans="1:17">
      <c r="A5" s="386" t="s">
        <v>312</v>
      </c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</row>
    <row r="7" spans="1:17" ht="38.25">
      <c r="A7" s="247" t="s">
        <v>313</v>
      </c>
      <c r="B7" s="247" t="s">
        <v>314</v>
      </c>
      <c r="C7" s="247" t="s">
        <v>315</v>
      </c>
      <c r="D7" s="247" t="s">
        <v>316</v>
      </c>
      <c r="E7" s="247" t="s">
        <v>317</v>
      </c>
      <c r="F7" s="248" t="s">
        <v>318</v>
      </c>
      <c r="G7" s="250" t="s">
        <v>319</v>
      </c>
      <c r="H7" s="248" t="s">
        <v>345</v>
      </c>
    </row>
    <row r="8" spans="1:17" ht="21">
      <c r="A8" s="251" t="s">
        <v>343</v>
      </c>
      <c r="B8" s="251" t="s">
        <v>343</v>
      </c>
      <c r="C8" s="251" t="s">
        <v>344</v>
      </c>
      <c r="D8" s="283">
        <f>اوراق!Y14</f>
        <v>800000</v>
      </c>
      <c r="E8" s="283">
        <f>اوراق!AC14</f>
        <v>800000000000</v>
      </c>
      <c r="F8" s="304">
        <v>24832216316</v>
      </c>
      <c r="G8" s="284">
        <v>0.23</v>
      </c>
      <c r="H8" s="284">
        <v>0.39</v>
      </c>
    </row>
    <row r="10" spans="1:17" ht="17.25">
      <c r="A10" s="377" t="s">
        <v>335</v>
      </c>
      <c r="B10" s="377"/>
      <c r="C10" s="377"/>
      <c r="D10" s="377"/>
      <c r="E10" s="377"/>
      <c r="F10" s="377"/>
    </row>
    <row r="20" spans="1:1">
      <c r="A20" t="s">
        <v>336</v>
      </c>
    </row>
    <row r="53" spans="34:34">
      <c r="AH53" t="s">
        <v>337</v>
      </c>
    </row>
  </sheetData>
  <mergeCells count="5">
    <mergeCell ref="A10:F10"/>
    <mergeCell ref="A1:I1"/>
    <mergeCell ref="A2:I2"/>
    <mergeCell ref="A5:Q5"/>
    <mergeCell ref="A3:I3"/>
  </mergeCells>
  <pageMargins left="0.7" right="0.7" top="0.75" bottom="0.75" header="0.3" footer="0.3"/>
  <pageSetup scale="81" orientation="portrait" r:id="rId1"/>
  <colBreaks count="1" manualBreakCount="1">
    <brk id="8" max="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79998168889431442"/>
  </sheetPr>
  <dimension ref="A1:F10"/>
  <sheetViews>
    <sheetView rightToLeft="1" view="pageBreakPreview" zoomScale="115" zoomScaleNormal="100" zoomScaleSheetLayoutView="115" workbookViewId="0">
      <selection activeCell="A11" sqref="A11:XFD16"/>
    </sheetView>
  </sheetViews>
  <sheetFormatPr defaultColWidth="9.140625" defaultRowHeight="18"/>
  <cols>
    <col min="1" max="1" width="32.42578125" style="141" customWidth="1"/>
    <col min="2" max="2" width="1.42578125" style="141" customWidth="1"/>
    <col min="3" max="3" width="17.7109375" style="141" bestFit="1" customWidth="1"/>
    <col min="4" max="4" width="0.85546875" style="141" customWidth="1"/>
    <col min="5" max="5" width="18.140625" style="141" customWidth="1"/>
    <col min="6" max="6" width="16.5703125" style="141" customWidth="1"/>
    <col min="7" max="16384" width="9.140625" style="141"/>
  </cols>
  <sheetData>
    <row r="1" spans="1:6" s="189" customFormat="1" ht="18.75">
      <c r="A1" s="338" t="s">
        <v>84</v>
      </c>
      <c r="B1" s="338"/>
      <c r="C1" s="338"/>
      <c r="D1" s="338"/>
      <c r="E1" s="338"/>
    </row>
    <row r="2" spans="1:6" s="189" customFormat="1" ht="18.75">
      <c r="A2" s="338" t="s">
        <v>53</v>
      </c>
      <c r="B2" s="338"/>
      <c r="C2" s="338"/>
      <c r="D2" s="338"/>
      <c r="E2" s="338"/>
    </row>
    <row r="3" spans="1:6" s="189" customFormat="1" ht="18.75">
      <c r="A3" s="338" t="str">
        <f>' سهام'!A3:W3</f>
        <v>برای ماه منتهی به 1403/05/31</v>
      </c>
      <c r="B3" s="338"/>
      <c r="C3" s="338"/>
      <c r="D3" s="338"/>
      <c r="E3" s="338"/>
    </row>
    <row r="4" spans="1:6" ht="18.75">
      <c r="A4" s="341" t="s">
        <v>29</v>
      </c>
      <c r="B4" s="341"/>
      <c r="C4" s="341"/>
      <c r="D4" s="341"/>
      <c r="E4" s="341"/>
    </row>
    <row r="5" spans="1:6" ht="49.5" customHeight="1" thickBot="1">
      <c r="A5" s="179"/>
      <c r="B5" s="180"/>
      <c r="C5" s="190" t="s">
        <v>375</v>
      </c>
      <c r="D5" s="145"/>
      <c r="E5" s="190" t="s">
        <v>377</v>
      </c>
    </row>
    <row r="6" spans="1:6" ht="18.75">
      <c r="A6" s="373"/>
      <c r="B6" s="374"/>
      <c r="C6" s="370" t="s">
        <v>6</v>
      </c>
      <c r="D6" s="181"/>
      <c r="E6" s="370" t="s">
        <v>6</v>
      </c>
    </row>
    <row r="7" spans="1:6" ht="18.75" thickBot="1">
      <c r="A7" s="374"/>
      <c r="B7" s="374"/>
      <c r="C7" s="372"/>
      <c r="D7" s="183"/>
      <c r="E7" s="372"/>
    </row>
    <row r="8" spans="1:6" ht="25.9" customHeight="1">
      <c r="A8" s="191" t="s">
        <v>122</v>
      </c>
      <c r="B8" s="7"/>
      <c r="C8" s="226" t="s">
        <v>85</v>
      </c>
      <c r="D8" s="68"/>
      <c r="E8" s="68">
        <v>10763642</v>
      </c>
      <c r="F8" s="223"/>
    </row>
    <row r="9" spans="1:6" ht="19.5" thickBot="1">
      <c r="A9" s="181" t="s">
        <v>2</v>
      </c>
      <c r="B9" s="271"/>
      <c r="C9" s="408">
        <f>SUM(C8:C8)</f>
        <v>0</v>
      </c>
      <c r="D9" s="409"/>
      <c r="E9" s="410">
        <f>SUM(E8:E8)</f>
        <v>10763642</v>
      </c>
    </row>
    <row r="10" spans="1:6" ht="18.75" thickTop="1">
      <c r="D10" s="68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4" tint="0.79998168889431442"/>
  </sheetPr>
  <dimension ref="A1:S20"/>
  <sheetViews>
    <sheetView rightToLeft="1" view="pageBreakPreview" zoomScale="80" zoomScaleNormal="100" zoomScaleSheetLayoutView="80" workbookViewId="0">
      <selection activeCell="I6" sqref="I6:M6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69" t="s">
        <v>84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</row>
    <row r="2" spans="1:19" ht="22.5">
      <c r="A2" s="369" t="s">
        <v>53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</row>
    <row r="3" spans="1:19" ht="22.5">
      <c r="A3" s="369" t="s">
        <v>355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</row>
    <row r="4" spans="1:19" ht="22.5">
      <c r="A4" s="389" t="s">
        <v>71</v>
      </c>
      <c r="B4" s="389"/>
      <c r="C4" s="389"/>
      <c r="D4" s="389"/>
      <c r="E4" s="389"/>
      <c r="F4" s="389"/>
      <c r="G4" s="389"/>
      <c r="H4" s="389"/>
      <c r="I4" s="390"/>
      <c r="J4" s="390"/>
      <c r="K4" s="390"/>
      <c r="L4" s="390"/>
      <c r="M4" s="390"/>
      <c r="N4" s="390"/>
      <c r="O4" s="390"/>
      <c r="P4" s="390"/>
      <c r="Q4" s="389"/>
      <c r="R4" s="389"/>
      <c r="S4" s="389"/>
    </row>
    <row r="6" spans="1:19" ht="18.75">
      <c r="C6" s="387" t="s">
        <v>72</v>
      </c>
      <c r="D6" s="388"/>
      <c r="E6" s="388"/>
      <c r="F6" s="388"/>
      <c r="G6" s="388"/>
      <c r="I6" s="387" t="s">
        <v>73</v>
      </c>
      <c r="J6" s="388"/>
      <c r="K6" s="388"/>
      <c r="L6" s="388"/>
      <c r="M6" s="388"/>
      <c r="O6" s="387" t="s">
        <v>354</v>
      </c>
      <c r="P6" s="388"/>
      <c r="Q6" s="388"/>
      <c r="R6" s="388"/>
      <c r="S6" s="388"/>
    </row>
    <row r="7" spans="1:19" ht="56.25">
      <c r="A7" s="17" t="s">
        <v>74</v>
      </c>
      <c r="C7" s="14" t="s">
        <v>75</v>
      </c>
      <c r="E7" s="14" t="s">
        <v>76</v>
      </c>
      <c r="G7" s="14" t="s">
        <v>77</v>
      </c>
      <c r="I7" s="14" t="s">
        <v>78</v>
      </c>
      <c r="K7" s="14" t="s">
        <v>79</v>
      </c>
      <c r="M7" s="14" t="s">
        <v>80</v>
      </c>
      <c r="O7" s="14" t="s">
        <v>78</v>
      </c>
      <c r="Q7" s="14" t="s">
        <v>79</v>
      </c>
      <c r="S7" s="14" t="s">
        <v>80</v>
      </c>
    </row>
    <row r="8" spans="1:19" ht="21.75">
      <c r="A8" s="62" t="s">
        <v>86</v>
      </c>
      <c r="B8" s="13"/>
      <c r="C8" s="21" t="s">
        <v>85</v>
      </c>
      <c r="D8" s="8"/>
      <c r="E8" s="21" t="s">
        <v>85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81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79998168889431442"/>
    <pageSetUpPr fitToPage="1"/>
  </sheetPr>
  <dimension ref="A1:Q17"/>
  <sheetViews>
    <sheetView rightToLeft="1" view="pageBreakPreview" zoomScale="80" zoomScaleNormal="100" zoomScaleSheetLayoutView="80" workbookViewId="0">
      <selection activeCell="A10" sqref="A10"/>
    </sheetView>
  </sheetViews>
  <sheetFormatPr defaultColWidth="9.140625" defaultRowHeight="17.25"/>
  <cols>
    <col min="1" max="1" width="39" style="7" customWidth="1"/>
    <col min="2" max="2" width="1.28515625" style="7" customWidth="1"/>
    <col min="3" max="3" width="9.85546875" style="7" customWidth="1"/>
    <col min="4" max="4" width="0.85546875" style="7" customWidth="1"/>
    <col min="5" max="5" width="22.7109375" style="81" customWidth="1"/>
    <col min="6" max="6" width="0.5703125" style="81" customWidth="1"/>
    <col min="7" max="7" width="23.28515625" style="81" customWidth="1"/>
    <col min="8" max="8" width="0.85546875" style="81" customWidth="1"/>
    <col min="9" max="9" width="21" style="82" customWidth="1"/>
    <col min="10" max="10" width="0.5703125" style="82" customWidth="1"/>
    <col min="11" max="11" width="14" style="82" bestFit="1" customWidth="1"/>
    <col min="12" max="12" width="0.42578125" style="82" customWidth="1"/>
    <col min="13" max="13" width="22.28515625" style="82" customWidth="1"/>
    <col min="14" max="14" width="0.42578125" style="82" customWidth="1"/>
    <col min="15" max="15" width="22.28515625" style="82" customWidth="1"/>
    <col min="16" max="16" width="0.5703125" style="82" customWidth="1"/>
    <col min="17" max="17" width="21.7109375" style="82" customWidth="1"/>
    <col min="18" max="16384" width="9.140625" style="7"/>
  </cols>
  <sheetData>
    <row r="1" spans="1:17" ht="22.5">
      <c r="A1" s="369" t="s">
        <v>84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2" spans="1:17" ht="22.5">
      <c r="A2" s="369" t="s">
        <v>53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</row>
    <row r="3" spans="1:17" ht="22.5">
      <c r="A3" s="369" t="str">
        <f>' سهام'!A3:W3</f>
        <v>برای ماه منتهی به 1403/05/31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</row>
    <row r="4" spans="1:17" ht="22.5">
      <c r="A4" s="389" t="s">
        <v>60</v>
      </c>
      <c r="B4" s="389"/>
      <c r="C4" s="389"/>
      <c r="D4" s="389"/>
      <c r="E4" s="389"/>
      <c r="F4" s="389"/>
      <c r="G4" s="389"/>
      <c r="H4" s="389"/>
      <c r="I4" s="389"/>
      <c r="J4" s="396"/>
      <c r="K4" s="396"/>
      <c r="L4" s="396"/>
      <c r="M4" s="396"/>
      <c r="N4" s="396"/>
      <c r="O4" s="396"/>
      <c r="P4" s="396"/>
      <c r="Q4" s="396"/>
    </row>
    <row r="5" spans="1:17" ht="15.75" customHeight="1" thickBot="1">
      <c r="A5" s="109"/>
      <c r="B5" s="109"/>
      <c r="C5" s="394" t="s">
        <v>375</v>
      </c>
      <c r="D5" s="394"/>
      <c r="E5" s="394"/>
      <c r="F5" s="394"/>
      <c r="G5" s="394"/>
      <c r="H5" s="394"/>
      <c r="I5" s="394"/>
      <c r="J5" s="12"/>
      <c r="K5" s="395" t="s">
        <v>376</v>
      </c>
      <c r="L5" s="395"/>
      <c r="M5" s="395"/>
      <c r="N5" s="395"/>
      <c r="O5" s="395"/>
      <c r="P5" s="395"/>
      <c r="Q5" s="395"/>
    </row>
    <row r="6" spans="1:17" ht="22.5" thickBot="1">
      <c r="A6" s="198" t="s">
        <v>35</v>
      </c>
      <c r="B6" s="198"/>
      <c r="C6" s="199" t="s">
        <v>3</v>
      </c>
      <c r="D6" s="198"/>
      <c r="E6" s="200" t="s">
        <v>42</v>
      </c>
      <c r="F6" s="78"/>
      <c r="G6" s="201" t="s">
        <v>39</v>
      </c>
      <c r="H6" s="78"/>
      <c r="I6" s="87" t="s">
        <v>43</v>
      </c>
      <c r="J6" s="12"/>
      <c r="K6" s="86" t="s">
        <v>3</v>
      </c>
      <c r="L6" s="79"/>
      <c r="M6" s="87" t="s">
        <v>42</v>
      </c>
      <c r="N6" s="79"/>
      <c r="O6" s="86" t="s">
        <v>39</v>
      </c>
      <c r="P6" s="79"/>
      <c r="Q6" s="202" t="s">
        <v>43</v>
      </c>
    </row>
    <row r="7" spans="1:17" ht="21.75">
      <c r="A7" s="299" t="s">
        <v>129</v>
      </c>
      <c r="B7" s="198"/>
      <c r="C7" s="197">
        <v>0</v>
      </c>
      <c r="D7" s="272"/>
      <c r="E7" s="197">
        <v>0</v>
      </c>
      <c r="F7" s="71"/>
      <c r="G7" s="80">
        <v>0</v>
      </c>
      <c r="H7" s="78"/>
      <c r="I7" s="71">
        <f>E7+G7</f>
        <v>0</v>
      </c>
      <c r="J7" s="12"/>
      <c r="K7" s="89">
        <v>198700</v>
      </c>
      <c r="L7" s="79"/>
      <c r="M7" s="80">
        <v>192395802792</v>
      </c>
      <c r="N7" s="80"/>
      <c r="O7" s="80">
        <v>-192519188132</v>
      </c>
      <c r="P7" s="216"/>
      <c r="Q7" s="71">
        <f>M7+O7</f>
        <v>-123385340</v>
      </c>
    </row>
    <row r="8" spans="1:17" ht="21.75">
      <c r="A8" s="299" t="s">
        <v>142</v>
      </c>
      <c r="B8" s="198"/>
      <c r="C8" s="197">
        <v>0</v>
      </c>
      <c r="D8" s="272"/>
      <c r="E8" s="197">
        <v>0</v>
      </c>
      <c r="F8" s="71"/>
      <c r="G8" s="80">
        <v>0</v>
      </c>
      <c r="H8" s="78"/>
      <c r="I8" s="71">
        <f t="shared" ref="I8:I14" si="0">E8+G8</f>
        <v>0</v>
      </c>
      <c r="J8" s="12"/>
      <c r="K8" s="89">
        <v>150000</v>
      </c>
      <c r="L8" s="79"/>
      <c r="M8" s="80">
        <v>152303492193</v>
      </c>
      <c r="N8" s="80"/>
      <c r="O8" s="80">
        <v>-153313937318</v>
      </c>
      <c r="P8" s="216"/>
      <c r="Q8" s="71">
        <f t="shared" ref="Q8:Q14" si="1">M8+O8</f>
        <v>-1010445125</v>
      </c>
    </row>
    <row r="9" spans="1:17" ht="21.75">
      <c r="A9" s="299" t="s">
        <v>166</v>
      </c>
      <c r="B9" s="198"/>
      <c r="C9" s="197">
        <v>0</v>
      </c>
      <c r="D9" s="272"/>
      <c r="E9" s="197">
        <v>0</v>
      </c>
      <c r="F9" s="71"/>
      <c r="G9" s="80">
        <v>0</v>
      </c>
      <c r="H9" s="78"/>
      <c r="I9" s="71">
        <f t="shared" si="0"/>
        <v>0</v>
      </c>
      <c r="J9" s="12"/>
      <c r="K9" s="89">
        <v>380000</v>
      </c>
      <c r="L9" s="79"/>
      <c r="M9" s="80">
        <v>409299670616</v>
      </c>
      <c r="N9" s="80"/>
      <c r="O9" s="80">
        <v>-409377670616</v>
      </c>
      <c r="P9" s="216"/>
      <c r="Q9" s="71">
        <f t="shared" si="1"/>
        <v>-78000000</v>
      </c>
    </row>
    <row r="10" spans="1:17" ht="21.75">
      <c r="A10" s="299" t="s">
        <v>109</v>
      </c>
      <c r="B10" s="198"/>
      <c r="C10" s="197">
        <v>0</v>
      </c>
      <c r="D10" s="272"/>
      <c r="E10" s="197">
        <v>0</v>
      </c>
      <c r="F10" s="71"/>
      <c r="G10" s="80">
        <v>0</v>
      </c>
      <c r="H10" s="78"/>
      <c r="I10" s="71">
        <f t="shared" si="0"/>
        <v>0</v>
      </c>
      <c r="J10" s="12"/>
      <c r="K10" s="89">
        <v>155000</v>
      </c>
      <c r="L10" s="79"/>
      <c r="M10" s="80">
        <v>150667537709</v>
      </c>
      <c r="N10" s="80"/>
      <c r="O10" s="80">
        <v>-146791460053</v>
      </c>
      <c r="P10" s="216"/>
      <c r="Q10" s="71">
        <f t="shared" si="1"/>
        <v>3876077656</v>
      </c>
    </row>
    <row r="11" spans="1:17" ht="21.75">
      <c r="A11" s="299" t="s">
        <v>130</v>
      </c>
      <c r="B11" s="198"/>
      <c r="C11" s="197">
        <v>0</v>
      </c>
      <c r="D11" s="272"/>
      <c r="E11" s="197">
        <v>0</v>
      </c>
      <c r="F11" s="71"/>
      <c r="G11" s="80">
        <v>0</v>
      </c>
      <c r="H11" s="78"/>
      <c r="I11" s="71">
        <f t="shared" si="0"/>
        <v>0</v>
      </c>
      <c r="J11" s="12"/>
      <c r="K11" s="89">
        <v>723000</v>
      </c>
      <c r="L11" s="79"/>
      <c r="M11" s="80">
        <v>771577949994</v>
      </c>
      <c r="N11" s="80"/>
      <c r="O11" s="80">
        <v>-751741083705</v>
      </c>
      <c r="P11" s="216"/>
      <c r="Q11" s="71">
        <f t="shared" si="1"/>
        <v>19836866289</v>
      </c>
    </row>
    <row r="12" spans="1:17" ht="21.75">
      <c r="A12" s="299" t="s">
        <v>275</v>
      </c>
      <c r="B12" s="198"/>
      <c r="C12" s="197">
        <v>0</v>
      </c>
      <c r="D12" s="272"/>
      <c r="E12" s="197">
        <v>0</v>
      </c>
      <c r="F12" s="71"/>
      <c r="G12" s="80">
        <v>0</v>
      </c>
      <c r="H12" s="78"/>
      <c r="I12" s="71">
        <f t="shared" si="0"/>
        <v>0</v>
      </c>
      <c r="J12" s="12"/>
      <c r="K12" s="89">
        <v>200000</v>
      </c>
      <c r="L12" s="79"/>
      <c r="M12" s="80">
        <v>200933299180</v>
      </c>
      <c r="N12" s="80"/>
      <c r="O12" s="80">
        <v>-200952049180</v>
      </c>
      <c r="P12" s="216"/>
      <c r="Q12" s="71">
        <f t="shared" si="1"/>
        <v>-18750000</v>
      </c>
    </row>
    <row r="13" spans="1:17" ht="21.75">
      <c r="A13" s="299" t="s">
        <v>213</v>
      </c>
      <c r="B13" s="198"/>
      <c r="C13" s="197">
        <v>54000</v>
      </c>
      <c r="D13" s="272"/>
      <c r="E13" s="197">
        <v>49567114333</v>
      </c>
      <c r="F13" s="71"/>
      <c r="G13" s="80">
        <v>-44055537394</v>
      </c>
      <c r="H13" s="78"/>
      <c r="I13" s="71">
        <f t="shared" si="0"/>
        <v>5511576939</v>
      </c>
      <c r="J13" s="12"/>
      <c r="K13" s="89">
        <v>111110</v>
      </c>
      <c r="L13" s="79"/>
      <c r="M13" s="80">
        <v>99652492424</v>
      </c>
      <c r="N13" s="80"/>
      <c r="O13" s="80">
        <v>-90648347404.093597</v>
      </c>
      <c r="P13" s="216"/>
      <c r="Q13" s="71">
        <f t="shared" si="1"/>
        <v>9004145019.9064026</v>
      </c>
    </row>
    <row r="14" spans="1:17" ht="21.75">
      <c r="A14" s="299" t="s">
        <v>214</v>
      </c>
      <c r="B14" s="198"/>
      <c r="C14" s="197">
        <v>0</v>
      </c>
      <c r="D14" s="411"/>
      <c r="E14" s="197">
        <v>0</v>
      </c>
      <c r="F14" s="71"/>
      <c r="G14" s="197">
        <v>0</v>
      </c>
      <c r="H14" s="78"/>
      <c r="I14" s="71">
        <f t="shared" si="0"/>
        <v>0</v>
      </c>
      <c r="J14" s="12"/>
      <c r="K14" s="89">
        <v>482800</v>
      </c>
      <c r="L14" s="79"/>
      <c r="M14" s="80">
        <v>342075921791</v>
      </c>
      <c r="N14" s="80"/>
      <c r="O14" s="80">
        <v>-315152338762.19928</v>
      </c>
      <c r="P14" s="216"/>
      <c r="Q14" s="71">
        <f t="shared" si="1"/>
        <v>26923583028.80072</v>
      </c>
    </row>
    <row r="15" spans="1:17" ht="23.25" thickBot="1">
      <c r="C15" s="412"/>
      <c r="D15" s="407"/>
      <c r="E15" s="298">
        <f>SUM(E7:E14)</f>
        <v>49567114333</v>
      </c>
      <c r="F15" s="407"/>
      <c r="G15" s="298">
        <f>SUM(G7:G14)</f>
        <v>-44055537394</v>
      </c>
      <c r="H15" s="407"/>
      <c r="I15" s="298">
        <f>SUM(I7:I14)</f>
        <v>5511576939</v>
      </c>
      <c r="J15" s="407"/>
      <c r="K15" s="413">
        <f>SUM(K7:K14)</f>
        <v>2400610</v>
      </c>
      <c r="L15" s="407"/>
      <c r="M15" s="297">
        <f>SUM(M7:M14)</f>
        <v>2318906166699</v>
      </c>
      <c r="N15" s="407"/>
      <c r="O15" s="297">
        <f>SUM(O7:O14)</f>
        <v>-2260496075170.293</v>
      </c>
      <c r="P15" s="407"/>
      <c r="Q15" s="298">
        <f>SUM(Q7:Q14)</f>
        <v>58410091528.707123</v>
      </c>
    </row>
    <row r="16" spans="1:17" ht="10.5" customHeight="1" thickTop="1">
      <c r="A16" s="109"/>
      <c r="B16" s="109"/>
      <c r="C16" s="109"/>
      <c r="D16" s="109"/>
      <c r="E16" s="72"/>
      <c r="F16" s="72"/>
      <c r="G16" s="72"/>
      <c r="H16" s="7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21.75">
      <c r="A17" s="391" t="s">
        <v>41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3"/>
    </row>
  </sheetData>
  <autoFilter ref="A6:Q6" xr:uid="{00000000-0009-0000-0000-000008000000}">
    <sortState xmlns:xlrd2="http://schemas.microsoft.com/office/spreadsheetml/2017/richdata2" ref="A7:Q39">
      <sortCondition descending="1" ref="Q6"/>
    </sortState>
  </autoFilter>
  <mergeCells count="8">
    <mergeCell ref="A1:Q1"/>
    <mergeCell ref="A2:Q2"/>
    <mergeCell ref="A3:Q3"/>
    <mergeCell ref="A17:Q17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7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79998168889431442"/>
    <pageSetUpPr fitToPage="1"/>
  </sheetPr>
  <dimension ref="A1:R15"/>
  <sheetViews>
    <sheetView rightToLeft="1" view="pageBreakPreview" zoomScale="70" zoomScaleNormal="100" zoomScaleSheetLayoutView="70" workbookViewId="0">
      <selection activeCell="I13" sqref="I13"/>
    </sheetView>
  </sheetViews>
  <sheetFormatPr defaultColWidth="9.140625" defaultRowHeight="21.75"/>
  <cols>
    <col min="1" max="1" width="33.5703125" style="7" customWidth="1"/>
    <col min="2" max="2" width="0.5703125" style="7" customWidth="1"/>
    <col min="3" max="3" width="13.5703125" style="12" customWidth="1"/>
    <col min="4" max="4" width="0.85546875" style="12" customWidth="1"/>
    <col min="5" max="5" width="22" style="12" customWidth="1"/>
    <col min="6" max="6" width="0.85546875" style="12" customWidth="1"/>
    <col min="7" max="7" width="27.5703125" style="12" customWidth="1"/>
    <col min="8" max="8" width="0.7109375" style="12" customWidth="1"/>
    <col min="9" max="9" width="27.85546875" style="12" customWidth="1"/>
    <col min="10" max="10" width="1.42578125" style="12" customWidth="1"/>
    <col min="11" max="11" width="13.85546875" style="12" customWidth="1"/>
    <col min="12" max="12" width="1.140625" style="12" customWidth="1"/>
    <col min="13" max="13" width="26.140625" style="12" customWidth="1"/>
    <col min="14" max="14" width="1" style="12" customWidth="1"/>
    <col min="15" max="15" width="27" style="12" customWidth="1"/>
    <col min="16" max="16" width="1.140625" style="12" customWidth="1"/>
    <col min="17" max="17" width="21.5703125" style="12" customWidth="1"/>
    <col min="18" max="18" width="13.85546875" style="7" customWidth="1"/>
    <col min="19" max="16384" width="9.140625" style="7"/>
  </cols>
  <sheetData>
    <row r="1" spans="1:18" ht="22.5">
      <c r="A1" s="369" t="s">
        <v>84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2" spans="1:18" ht="22.5">
      <c r="A2" s="369" t="s">
        <v>53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</row>
    <row r="3" spans="1:18" ht="22.5">
      <c r="A3" s="369" t="str">
        <f>' سهام'!A3:W3</f>
        <v>برای ماه منتهی به 1403/05/31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</row>
    <row r="4" spans="1:18">
      <c r="A4" s="341" t="s">
        <v>59</v>
      </c>
      <c r="B4" s="341"/>
      <c r="C4" s="341"/>
      <c r="D4" s="341"/>
      <c r="E4" s="341"/>
      <c r="F4" s="341"/>
      <c r="G4" s="341"/>
      <c r="H4" s="341"/>
    </row>
    <row r="5" spans="1:18" s="178" customFormat="1" ht="16.5" customHeight="1" thickBot="1">
      <c r="A5" s="155"/>
      <c r="B5" s="155"/>
      <c r="C5" s="400" t="s">
        <v>375</v>
      </c>
      <c r="D5" s="400"/>
      <c r="E5" s="400"/>
      <c r="F5" s="400"/>
      <c r="G5" s="400"/>
      <c r="H5" s="400"/>
      <c r="I5" s="400"/>
      <c r="J5" s="79"/>
      <c r="K5" s="395" t="s">
        <v>376</v>
      </c>
      <c r="L5" s="395"/>
      <c r="M5" s="395"/>
      <c r="N5" s="395"/>
      <c r="O5" s="395"/>
      <c r="P5" s="395"/>
      <c r="Q5" s="395"/>
    </row>
    <row r="6" spans="1:18" s="178" customFormat="1" ht="27" customHeight="1" thickBot="1">
      <c r="A6" s="155" t="s">
        <v>35</v>
      </c>
      <c r="B6" s="155"/>
      <c r="C6" s="86" t="s">
        <v>3</v>
      </c>
      <c r="D6" s="79"/>
      <c r="E6" s="87" t="s">
        <v>19</v>
      </c>
      <c r="F6" s="79"/>
      <c r="G6" s="86" t="s">
        <v>39</v>
      </c>
      <c r="H6" s="79"/>
      <c r="I6" s="87" t="s">
        <v>40</v>
      </c>
      <c r="J6" s="79"/>
      <c r="K6" s="86" t="s">
        <v>3</v>
      </c>
      <c r="L6" s="79"/>
      <c r="M6" s="87" t="s">
        <v>19</v>
      </c>
      <c r="N6" s="79"/>
      <c r="O6" s="87" t="s">
        <v>39</v>
      </c>
      <c r="P6" s="79"/>
      <c r="Q6" s="219" t="s">
        <v>40</v>
      </c>
    </row>
    <row r="7" spans="1:18" s="178" customFormat="1" ht="27" customHeight="1">
      <c r="A7" s="155" t="s">
        <v>109</v>
      </c>
      <c r="B7" s="155"/>
      <c r="C7" s="89">
        <v>345000</v>
      </c>
      <c r="D7" s="79"/>
      <c r="E7" s="105">
        <v>341750246540</v>
      </c>
      <c r="F7" s="79"/>
      <c r="G7" s="215">
        <v>-341750246540</v>
      </c>
      <c r="H7" s="79"/>
      <c r="I7" s="80">
        <f>E7+G7</f>
        <v>0</v>
      </c>
      <c r="J7" s="79"/>
      <c r="K7" s="89">
        <v>345000</v>
      </c>
      <c r="L7" s="105"/>
      <c r="M7" s="90">
        <v>341750246540</v>
      </c>
      <c r="N7" s="90"/>
      <c r="O7" s="215">
        <v>-319757033531</v>
      </c>
      <c r="P7" s="105"/>
      <c r="Q7" s="215">
        <f>M7+O7</f>
        <v>21993213009</v>
      </c>
    </row>
    <row r="8" spans="1:18" s="178" customFormat="1" ht="27" customHeight="1">
      <c r="A8" s="155" t="s">
        <v>213</v>
      </c>
      <c r="B8" s="155"/>
      <c r="C8" s="89">
        <v>215890</v>
      </c>
      <c r="D8" s="79"/>
      <c r="E8" s="105">
        <v>199634425783</v>
      </c>
      <c r="F8" s="79"/>
      <c r="G8" s="215">
        <v>-201095086003</v>
      </c>
      <c r="H8" s="79"/>
      <c r="I8" s="80">
        <f t="shared" ref="I8:I12" si="0">E8+G8</f>
        <v>-1460660220</v>
      </c>
      <c r="J8" s="79"/>
      <c r="K8" s="89">
        <v>215890</v>
      </c>
      <c r="L8" s="105"/>
      <c r="M8" s="90">
        <v>199634425783</v>
      </c>
      <c r="N8" s="90"/>
      <c r="O8" s="215">
        <v>-176132406814</v>
      </c>
      <c r="P8" s="105"/>
      <c r="Q8" s="215">
        <f t="shared" ref="Q8:Q12" si="1">M8+O8</f>
        <v>23502018969</v>
      </c>
      <c r="R8" s="273"/>
    </row>
    <row r="9" spans="1:18" s="178" customFormat="1" ht="27" customHeight="1">
      <c r="A9" s="155" t="s">
        <v>274</v>
      </c>
      <c r="B9" s="155"/>
      <c r="C9" s="89">
        <v>33574</v>
      </c>
      <c r="D9" s="79"/>
      <c r="E9" s="105">
        <v>26680382838</v>
      </c>
      <c r="F9" s="79"/>
      <c r="G9" s="215">
        <v>-26492402515</v>
      </c>
      <c r="H9" s="79"/>
      <c r="I9" s="80">
        <f t="shared" si="0"/>
        <v>187980323</v>
      </c>
      <c r="J9" s="79"/>
      <c r="K9" s="89">
        <v>33574</v>
      </c>
      <c r="L9" s="105"/>
      <c r="M9" s="90">
        <v>26680382838</v>
      </c>
      <c r="N9" s="90"/>
      <c r="O9" s="215">
        <v>-24736934728</v>
      </c>
      <c r="P9" s="105"/>
      <c r="Q9" s="215">
        <f t="shared" si="1"/>
        <v>1943448110</v>
      </c>
      <c r="R9" s="273"/>
    </row>
    <row r="10" spans="1:18" s="178" customFormat="1" ht="27" customHeight="1">
      <c r="A10" s="155" t="s">
        <v>165</v>
      </c>
      <c r="B10" s="155"/>
      <c r="C10" s="89">
        <v>32000</v>
      </c>
      <c r="D10" s="79"/>
      <c r="E10" s="105">
        <v>22266427480</v>
      </c>
      <c r="F10" s="79"/>
      <c r="G10" s="215">
        <v>-22247966825</v>
      </c>
      <c r="H10" s="79"/>
      <c r="I10" s="80">
        <f t="shared" si="0"/>
        <v>18460655</v>
      </c>
      <c r="J10" s="79"/>
      <c r="K10" s="89">
        <v>32000</v>
      </c>
      <c r="L10" s="105"/>
      <c r="M10" s="90">
        <v>22266427480</v>
      </c>
      <c r="N10" s="90"/>
      <c r="O10" s="215">
        <v>-19769911643</v>
      </c>
      <c r="P10" s="105"/>
      <c r="Q10" s="215">
        <f t="shared" si="1"/>
        <v>2496515837</v>
      </c>
      <c r="R10" s="273"/>
    </row>
    <row r="11" spans="1:18" s="178" customFormat="1" ht="27" customHeight="1">
      <c r="A11" s="155" t="s">
        <v>142</v>
      </c>
      <c r="B11" s="155"/>
      <c r="C11" s="89">
        <v>355000</v>
      </c>
      <c r="D11" s="79"/>
      <c r="E11" s="105">
        <v>342867843938</v>
      </c>
      <c r="F11" s="79"/>
      <c r="G11" s="215">
        <v>-342867843938</v>
      </c>
      <c r="H11" s="79"/>
      <c r="I11" s="80">
        <f t="shared" si="0"/>
        <v>0</v>
      </c>
      <c r="J11" s="79"/>
      <c r="K11" s="89">
        <v>355000</v>
      </c>
      <c r="L11" s="105"/>
      <c r="M11" s="90">
        <v>342867843938</v>
      </c>
      <c r="N11" s="90"/>
      <c r="O11" s="215">
        <v>-347411020338</v>
      </c>
      <c r="P11" s="105"/>
      <c r="Q11" s="215">
        <f t="shared" si="1"/>
        <v>-4543176400</v>
      </c>
      <c r="R11" s="273"/>
    </row>
    <row r="12" spans="1:18" s="178" customFormat="1" ht="27" customHeight="1">
      <c r="A12" s="155" t="s">
        <v>275</v>
      </c>
      <c r="B12" s="155"/>
      <c r="C12" s="89">
        <v>800000</v>
      </c>
      <c r="D12" s="79"/>
      <c r="E12" s="105">
        <v>799855000000</v>
      </c>
      <c r="F12" s="79"/>
      <c r="G12" s="215">
        <v>-799855000000</v>
      </c>
      <c r="H12" s="79"/>
      <c r="I12" s="80">
        <f t="shared" si="0"/>
        <v>0</v>
      </c>
      <c r="J12" s="79"/>
      <c r="K12" s="89">
        <v>800000</v>
      </c>
      <c r="L12" s="79"/>
      <c r="M12" s="90">
        <v>799855000000</v>
      </c>
      <c r="N12" s="79"/>
      <c r="O12" s="215">
        <v>-800000000000</v>
      </c>
      <c r="P12" s="79"/>
      <c r="Q12" s="215">
        <f t="shared" si="1"/>
        <v>-145000000</v>
      </c>
      <c r="R12" s="273"/>
    </row>
    <row r="13" spans="1:18" s="178" customFormat="1" ht="23.25" thickBot="1">
      <c r="A13" s="274" t="s">
        <v>2</v>
      </c>
      <c r="B13" s="155"/>
      <c r="C13" s="414"/>
      <c r="D13" s="415"/>
      <c r="E13" s="416">
        <f>SUM(E7:E12)</f>
        <v>1733054326579</v>
      </c>
      <c r="F13" s="107"/>
      <c r="G13" s="296">
        <f>SUM(G7:G12)</f>
        <v>-1734308545821</v>
      </c>
      <c r="H13" s="107"/>
      <c r="I13" s="296">
        <f>SUM(I7:I12)</f>
        <v>-1254219242</v>
      </c>
      <c r="J13" s="107"/>
      <c r="K13" s="414"/>
      <c r="L13" s="107"/>
      <c r="M13" s="296">
        <f>SUM(M7:M12)</f>
        <v>1733054326579</v>
      </c>
      <c r="N13" s="107"/>
      <c r="O13" s="296">
        <f>SUM(O7:O12)</f>
        <v>-1687807307054</v>
      </c>
      <c r="P13" s="107"/>
      <c r="Q13" s="296">
        <f>SUM(Q7:Q12)</f>
        <v>45247019525</v>
      </c>
    </row>
    <row r="14" spans="1:18" s="178" customFormat="1" ht="22.5" thickTop="1">
      <c r="A14" s="155"/>
      <c r="B14" s="155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</row>
    <row r="15" spans="1:18" s="178" customFormat="1" ht="24.75" customHeight="1">
      <c r="A15" s="397" t="s">
        <v>41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9"/>
    </row>
  </sheetData>
  <autoFilter ref="A6:Q6" xr:uid="{00000000-0009-0000-0000-000009000000}">
    <sortState xmlns:xlrd2="http://schemas.microsoft.com/office/spreadsheetml/2017/richdata2" ref="A7:Q23">
      <sortCondition descending="1" ref="Q6"/>
    </sortState>
  </autoFilter>
  <mergeCells count="7">
    <mergeCell ref="A15:Q15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  <pageSetUpPr fitToPage="1"/>
  </sheetPr>
  <dimension ref="A1:W16"/>
  <sheetViews>
    <sheetView rightToLeft="1" view="pageBreakPreview" zoomScale="55" zoomScaleNormal="100" zoomScaleSheetLayoutView="55" workbookViewId="0">
      <selection activeCell="A4" sqref="A4:W4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306" t="s">
        <v>84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</row>
    <row r="2" spans="1:23" ht="31.5">
      <c r="A2" s="306" t="s">
        <v>47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</row>
    <row r="3" spans="1:23" ht="31.5">
      <c r="A3" s="306" t="s">
        <v>355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</row>
    <row r="4" spans="1:23" ht="31.5">
      <c r="A4" s="315" t="s">
        <v>23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</row>
    <row r="5" spans="1:23" ht="31.5">
      <c r="A5" s="315" t="s">
        <v>24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</row>
    <row r="7" spans="1:23" ht="36.75" customHeight="1" thickBot="1">
      <c r="A7" s="1"/>
      <c r="B7" s="2"/>
      <c r="C7" s="317" t="s">
        <v>346</v>
      </c>
      <c r="D7" s="317"/>
      <c r="E7" s="317"/>
      <c r="F7" s="317"/>
      <c r="G7" s="317"/>
      <c r="H7" s="3"/>
      <c r="I7" s="316" t="s">
        <v>7</v>
      </c>
      <c r="J7" s="316"/>
      <c r="K7" s="316"/>
      <c r="L7" s="316"/>
      <c r="M7" s="316"/>
      <c r="O7" s="318" t="s">
        <v>354</v>
      </c>
      <c r="P7" s="318"/>
      <c r="Q7" s="318"/>
      <c r="R7" s="318"/>
      <c r="S7" s="318"/>
      <c r="T7" s="318"/>
      <c r="U7" s="318"/>
      <c r="V7" s="318"/>
      <c r="W7" s="318"/>
    </row>
    <row r="8" spans="1:23" ht="29.25" customHeight="1">
      <c r="A8" s="307" t="s">
        <v>1</v>
      </c>
      <c r="B8" s="4"/>
      <c r="C8" s="313" t="s">
        <v>3</v>
      </c>
      <c r="D8" s="310"/>
      <c r="E8" s="313" t="s">
        <v>0</v>
      </c>
      <c r="F8" s="310"/>
      <c r="G8" s="319" t="s">
        <v>19</v>
      </c>
      <c r="H8" s="23"/>
      <c r="I8" s="309" t="s">
        <v>4</v>
      </c>
      <c r="J8" s="309"/>
      <c r="K8" s="25"/>
      <c r="L8" s="309" t="s">
        <v>5</v>
      </c>
      <c r="M8" s="309"/>
      <c r="O8" s="311" t="s">
        <v>3</v>
      </c>
      <c r="P8" s="310"/>
      <c r="Q8" s="319" t="s">
        <v>31</v>
      </c>
      <c r="R8" s="22"/>
      <c r="S8" s="311" t="s">
        <v>0</v>
      </c>
      <c r="T8" s="310"/>
      <c r="U8" s="319" t="s">
        <v>19</v>
      </c>
      <c r="V8" s="5"/>
      <c r="W8" s="321" t="s">
        <v>20</v>
      </c>
    </row>
    <row r="9" spans="1:23" ht="49.5" customHeight="1" thickBot="1">
      <c r="A9" s="308"/>
      <c r="B9" s="4"/>
      <c r="C9" s="312"/>
      <c r="D9" s="314"/>
      <c r="E9" s="312"/>
      <c r="F9" s="314"/>
      <c r="G9" s="320"/>
      <c r="H9" s="23"/>
      <c r="I9" s="26" t="s">
        <v>3</v>
      </c>
      <c r="J9" s="26" t="s">
        <v>0</v>
      </c>
      <c r="K9" s="25"/>
      <c r="L9" s="26" t="s">
        <v>3</v>
      </c>
      <c r="M9" s="26" t="s">
        <v>46</v>
      </c>
      <c r="O9" s="312"/>
      <c r="P9" s="310"/>
      <c r="Q9" s="320"/>
      <c r="R9" s="22"/>
      <c r="S9" s="312"/>
      <c r="T9" s="310"/>
      <c r="U9" s="320"/>
      <c r="V9" s="5"/>
      <c r="W9" s="322"/>
    </row>
    <row r="10" spans="1:23" ht="28.5" customHeight="1" thickBot="1">
      <c r="A10" s="63" t="s">
        <v>86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55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  <pageSetUpPr fitToPage="1"/>
  </sheetPr>
  <dimension ref="A1:AH29"/>
  <sheetViews>
    <sheetView rightToLeft="1" view="pageBreakPreview" topLeftCell="B1" zoomScale="40" zoomScaleNormal="50" zoomScaleSheetLayoutView="40" workbookViewId="0">
      <selection activeCell="K15" sqref="K15:AG15"/>
    </sheetView>
  </sheetViews>
  <sheetFormatPr defaultColWidth="9.140625" defaultRowHeight="15.75"/>
  <cols>
    <col min="1" max="1" width="50" style="110" customWidth="1"/>
    <col min="2" max="2" width="0.5703125" style="110" customWidth="1"/>
    <col min="3" max="3" width="12.5703125" style="110" customWidth="1"/>
    <col min="4" max="4" width="0.5703125" style="110" customWidth="1"/>
    <col min="5" max="5" width="20.5703125" style="110" customWidth="1"/>
    <col min="6" max="6" width="0.5703125" style="110" customWidth="1"/>
    <col min="7" max="7" width="19.7109375" style="110" customWidth="1"/>
    <col min="8" max="8" width="0.5703125" style="110" customWidth="1"/>
    <col min="9" max="9" width="19.7109375" style="110" customWidth="1"/>
    <col min="10" max="10" width="0.42578125" style="110" customWidth="1"/>
    <col min="11" max="11" width="18.7109375" style="110" customWidth="1"/>
    <col min="12" max="12" width="0.7109375" style="110" customWidth="1"/>
    <col min="13" max="13" width="15.85546875" style="110" customWidth="1"/>
    <col min="14" max="14" width="1.140625" style="110" customWidth="1"/>
    <col min="15" max="15" width="27.5703125" style="110" customWidth="1"/>
    <col min="16" max="16" width="0.5703125" style="110" customWidth="1"/>
    <col min="17" max="17" width="28.5703125" style="110" customWidth="1"/>
    <col min="18" max="18" width="0.5703125" style="110" customWidth="1"/>
    <col min="19" max="19" width="21.5703125" style="110" customWidth="1"/>
    <col min="20" max="20" width="29" style="110" customWidth="1"/>
    <col min="21" max="21" width="0.5703125" style="110" customWidth="1"/>
    <col min="22" max="22" width="16.140625" style="110" customWidth="1"/>
    <col min="23" max="23" width="25" style="110" customWidth="1"/>
    <col min="24" max="24" width="0.5703125" style="110" customWidth="1"/>
    <col min="25" max="25" width="17" style="110" customWidth="1"/>
    <col min="26" max="26" width="0.42578125" style="110" customWidth="1"/>
    <col min="27" max="27" width="26.7109375" style="110" customWidth="1"/>
    <col min="28" max="28" width="0.7109375" style="110" customWidth="1"/>
    <col min="29" max="29" width="28.85546875" style="110" customWidth="1"/>
    <col min="30" max="30" width="0.7109375" style="110" hidden="1" customWidth="1"/>
    <col min="31" max="31" width="29.7109375" style="110" customWidth="1"/>
    <col min="32" max="32" width="0.7109375" style="110" hidden="1" customWidth="1"/>
    <col min="33" max="33" width="16.5703125" style="110" customWidth="1"/>
    <col min="34" max="16384" width="9.140625" style="110"/>
  </cols>
  <sheetData>
    <row r="1" spans="1:34" s="109" customFormat="1" ht="24.75">
      <c r="A1" s="323" t="s">
        <v>84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</row>
    <row r="2" spans="1:34" s="109" customFormat="1" ht="24.75">
      <c r="A2" s="323" t="s">
        <v>47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</row>
    <row r="3" spans="1:34" s="109" customFormat="1" ht="24.75">
      <c r="A3" s="323" t="str">
        <f>' سهام'!A3:W3</f>
        <v>برای ماه منتهی به 1403/05/31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</row>
    <row r="4" spans="1:34" ht="27.75">
      <c r="A4" s="324" t="s">
        <v>62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</row>
    <row r="5" spans="1:34" ht="24.7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279"/>
      <c r="AB5" s="111"/>
      <c r="AC5" s="111"/>
      <c r="AD5" s="111"/>
      <c r="AE5" s="111"/>
      <c r="AF5" s="111"/>
      <c r="AG5" s="111"/>
    </row>
    <row r="6" spans="1:34" ht="27.75" customHeight="1" thickBot="1">
      <c r="A6" s="325" t="s">
        <v>63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 t="s">
        <v>346</v>
      </c>
      <c r="N6" s="325"/>
      <c r="O6" s="325"/>
      <c r="P6" s="325"/>
      <c r="Q6" s="325"/>
      <c r="R6" s="112"/>
      <c r="S6" s="326" t="s">
        <v>7</v>
      </c>
      <c r="T6" s="326"/>
      <c r="U6" s="326"/>
      <c r="V6" s="326"/>
      <c r="W6" s="326"/>
      <c r="X6" s="111"/>
      <c r="Y6" s="325" t="s">
        <v>354</v>
      </c>
      <c r="Z6" s="325"/>
      <c r="AA6" s="325"/>
      <c r="AB6" s="325"/>
      <c r="AC6" s="325"/>
      <c r="AD6" s="325"/>
      <c r="AE6" s="325"/>
      <c r="AF6" s="325"/>
      <c r="AG6" s="325"/>
    </row>
    <row r="7" spans="1:34" ht="26.25" customHeight="1">
      <c r="A7" s="328" t="s">
        <v>64</v>
      </c>
      <c r="B7" s="113"/>
      <c r="C7" s="329" t="s">
        <v>65</v>
      </c>
      <c r="D7" s="113"/>
      <c r="E7" s="331" t="s">
        <v>70</v>
      </c>
      <c r="F7" s="113"/>
      <c r="G7" s="327" t="s">
        <v>66</v>
      </c>
      <c r="H7" s="113"/>
      <c r="I7" s="329" t="s">
        <v>21</v>
      </c>
      <c r="J7" s="113"/>
      <c r="K7" s="331" t="s">
        <v>67</v>
      </c>
      <c r="L7" s="114"/>
      <c r="M7" s="332" t="s">
        <v>3</v>
      </c>
      <c r="N7" s="327"/>
      <c r="O7" s="327" t="s">
        <v>0</v>
      </c>
      <c r="P7" s="327"/>
      <c r="Q7" s="327" t="s">
        <v>19</v>
      </c>
      <c r="R7" s="113"/>
      <c r="S7" s="334" t="s">
        <v>4</v>
      </c>
      <c r="T7" s="334"/>
      <c r="U7" s="111"/>
      <c r="V7" s="334" t="s">
        <v>5</v>
      </c>
      <c r="W7" s="334"/>
      <c r="X7" s="111"/>
      <c r="Y7" s="332" t="s">
        <v>3</v>
      </c>
      <c r="Z7" s="328"/>
      <c r="AA7" s="327" t="s">
        <v>68</v>
      </c>
      <c r="AB7" s="113"/>
      <c r="AC7" s="327" t="s">
        <v>0</v>
      </c>
      <c r="AD7" s="328"/>
      <c r="AE7" s="327" t="s">
        <v>19</v>
      </c>
      <c r="AF7" s="115"/>
      <c r="AG7" s="327" t="s">
        <v>20</v>
      </c>
    </row>
    <row r="8" spans="1:34" s="118" customFormat="1" ht="55.5" customHeight="1" thickBot="1">
      <c r="A8" s="325"/>
      <c r="B8" s="113"/>
      <c r="C8" s="330"/>
      <c r="D8" s="113"/>
      <c r="E8" s="330"/>
      <c r="F8" s="113"/>
      <c r="G8" s="325"/>
      <c r="H8" s="113"/>
      <c r="I8" s="330"/>
      <c r="J8" s="113"/>
      <c r="K8" s="330"/>
      <c r="L8" s="112"/>
      <c r="M8" s="333"/>
      <c r="N8" s="328"/>
      <c r="O8" s="325"/>
      <c r="P8" s="328"/>
      <c r="Q8" s="325"/>
      <c r="R8" s="113"/>
      <c r="S8" s="116" t="s">
        <v>3</v>
      </c>
      <c r="T8" s="116" t="s">
        <v>0</v>
      </c>
      <c r="U8" s="117"/>
      <c r="V8" s="116" t="s">
        <v>3</v>
      </c>
      <c r="W8" s="116" t="s">
        <v>46</v>
      </c>
      <c r="X8" s="117"/>
      <c r="Y8" s="333"/>
      <c r="Z8" s="328"/>
      <c r="AA8" s="325"/>
      <c r="AB8" s="113"/>
      <c r="AC8" s="325"/>
      <c r="AD8" s="328"/>
      <c r="AE8" s="325"/>
      <c r="AF8" s="115"/>
      <c r="AG8" s="325"/>
      <c r="AH8" s="300"/>
    </row>
    <row r="9" spans="1:34" s="118" customFormat="1" ht="41.25" customHeight="1">
      <c r="A9" s="224" t="s">
        <v>109</v>
      </c>
      <c r="B9" s="113"/>
      <c r="C9" s="112" t="s">
        <v>87</v>
      </c>
      <c r="D9" s="113"/>
      <c r="E9" s="112" t="s">
        <v>87</v>
      </c>
      <c r="F9" s="113"/>
      <c r="G9" s="119" t="s">
        <v>110</v>
      </c>
      <c r="H9" s="119"/>
      <c r="I9" s="119" t="s">
        <v>111</v>
      </c>
      <c r="J9" s="113"/>
      <c r="K9" s="234">
        <v>0.18</v>
      </c>
      <c r="L9" s="112"/>
      <c r="M9" s="30">
        <v>345000</v>
      </c>
      <c r="N9" s="113"/>
      <c r="O9" s="30">
        <v>320584615384</v>
      </c>
      <c r="P9" s="113"/>
      <c r="Q9" s="30">
        <v>341750246540</v>
      </c>
      <c r="R9" s="113"/>
      <c r="S9" s="30">
        <v>0</v>
      </c>
      <c r="T9" s="30">
        <v>0</v>
      </c>
      <c r="U9" s="117"/>
      <c r="V9" s="30">
        <v>0</v>
      </c>
      <c r="W9" s="30">
        <v>0</v>
      </c>
      <c r="X9" s="117"/>
      <c r="Y9" s="30">
        <v>345000</v>
      </c>
      <c r="Z9" s="113"/>
      <c r="AA9" s="91">
        <v>990760</v>
      </c>
      <c r="AB9" s="113"/>
      <c r="AC9" s="30">
        <v>320584615384</v>
      </c>
      <c r="AD9" s="30">
        <v>344934019377</v>
      </c>
      <c r="AE9" s="30">
        <v>341750246540</v>
      </c>
      <c r="AF9" s="115"/>
      <c r="AG9" s="235">
        <f>AE9/درآمدها!$J$5</f>
        <v>0.16926662842842843</v>
      </c>
    </row>
    <row r="10" spans="1:34" s="118" customFormat="1" ht="41.25" customHeight="1">
      <c r="A10" s="224" t="s">
        <v>213</v>
      </c>
      <c r="B10" s="113"/>
      <c r="C10" s="112" t="s">
        <v>87</v>
      </c>
      <c r="D10" s="113"/>
      <c r="E10" s="112" t="s">
        <v>87</v>
      </c>
      <c r="F10" s="113"/>
      <c r="G10" s="119" t="s">
        <v>215</v>
      </c>
      <c r="H10" s="119"/>
      <c r="I10" s="119" t="s">
        <v>216</v>
      </c>
      <c r="J10" s="113"/>
      <c r="K10" s="64">
        <v>0</v>
      </c>
      <c r="L10" s="112"/>
      <c r="M10" s="30">
        <v>269890</v>
      </c>
      <c r="N10" s="113"/>
      <c r="O10" s="30">
        <v>220187944208</v>
      </c>
      <c r="P10" s="113"/>
      <c r="Q10" s="30">
        <v>245150623397</v>
      </c>
      <c r="R10" s="113"/>
      <c r="S10" s="30">
        <v>0</v>
      </c>
      <c r="T10" s="30">
        <v>0</v>
      </c>
      <c r="U10" s="117"/>
      <c r="V10" s="30">
        <v>54000</v>
      </c>
      <c r="W10" s="30">
        <v>49567114333</v>
      </c>
      <c r="X10" s="117"/>
      <c r="Y10" s="30">
        <v>215890</v>
      </c>
      <c r="Z10" s="113"/>
      <c r="AA10" s="91">
        <v>924872</v>
      </c>
      <c r="AB10" s="113"/>
      <c r="AC10" s="30">
        <v>176132406814</v>
      </c>
      <c r="AD10" s="30">
        <v>269490705956</v>
      </c>
      <c r="AE10" s="30">
        <v>199634425783</v>
      </c>
      <c r="AF10" s="115"/>
      <c r="AG10" s="235">
        <f>AE10/درآمدها!$J$5</f>
        <v>9.8877605832476345E-2</v>
      </c>
    </row>
    <row r="11" spans="1:34" s="118" customFormat="1" ht="41.25" customHeight="1">
      <c r="A11" s="224" t="s">
        <v>274</v>
      </c>
      <c r="B11" s="113"/>
      <c r="C11" s="112" t="s">
        <v>87</v>
      </c>
      <c r="D11" s="113"/>
      <c r="E11" s="112" t="s">
        <v>87</v>
      </c>
      <c r="F11" s="113"/>
      <c r="G11" s="119" t="s">
        <v>276</v>
      </c>
      <c r="H11" s="20"/>
      <c r="I11" s="119" t="s">
        <v>278</v>
      </c>
      <c r="J11" s="113"/>
      <c r="K11" s="64">
        <v>0</v>
      </c>
      <c r="L11" s="112"/>
      <c r="M11" s="30">
        <v>33574</v>
      </c>
      <c r="N11" s="103">
        <v>200036250000</v>
      </c>
      <c r="O11" s="30">
        <v>24736934728</v>
      </c>
      <c r="P11" s="30"/>
      <c r="Q11" s="30">
        <v>26492402515</v>
      </c>
      <c r="R11" s="30"/>
      <c r="S11" s="30">
        <v>0</v>
      </c>
      <c r="T11" s="30">
        <v>0</v>
      </c>
      <c r="U11" s="30"/>
      <c r="V11" s="30">
        <v>0</v>
      </c>
      <c r="W11" s="30">
        <v>0</v>
      </c>
      <c r="X11" s="30"/>
      <c r="Y11" s="30">
        <v>33574</v>
      </c>
      <c r="Z11" s="30"/>
      <c r="AA11" s="91">
        <v>794818</v>
      </c>
      <c r="AB11" s="30"/>
      <c r="AC11" s="30">
        <v>24736934728</v>
      </c>
      <c r="AD11" s="30">
        <v>764316093597</v>
      </c>
      <c r="AE11" s="30">
        <v>26680382838</v>
      </c>
      <c r="AF11" s="236"/>
      <c r="AG11" s="235">
        <f>AE11/درآمدها!$J$5</f>
        <v>1.3214616503983648E-2</v>
      </c>
    </row>
    <row r="12" spans="1:34" s="118" customFormat="1" ht="41.25" customHeight="1">
      <c r="A12" s="224" t="s">
        <v>165</v>
      </c>
      <c r="B12" s="113"/>
      <c r="C12" s="119" t="s">
        <v>87</v>
      </c>
      <c r="D12" s="20"/>
      <c r="E12" s="119" t="s">
        <v>87</v>
      </c>
      <c r="F12" s="20"/>
      <c r="G12" s="119" t="s">
        <v>167</v>
      </c>
      <c r="H12" s="20"/>
      <c r="I12" s="119" t="s">
        <v>168</v>
      </c>
      <c r="J12" s="119"/>
      <c r="K12" s="64">
        <v>0</v>
      </c>
      <c r="L12" s="112"/>
      <c r="M12" s="30">
        <v>32000</v>
      </c>
      <c r="N12" s="104"/>
      <c r="O12" s="30">
        <v>19769911643</v>
      </c>
      <c r="P12" s="30"/>
      <c r="Q12" s="30">
        <v>22247966825</v>
      </c>
      <c r="R12" s="30"/>
      <c r="S12" s="30">
        <v>0</v>
      </c>
      <c r="T12" s="30">
        <v>0</v>
      </c>
      <c r="U12" s="30"/>
      <c r="V12" s="30">
        <v>0</v>
      </c>
      <c r="W12" s="30">
        <v>0</v>
      </c>
      <c r="X12" s="30"/>
      <c r="Y12" s="30">
        <v>32000</v>
      </c>
      <c r="Z12" s="30"/>
      <c r="AA12" s="91">
        <v>695952</v>
      </c>
      <c r="AB12" s="30"/>
      <c r="AC12" s="30">
        <v>19769911643</v>
      </c>
      <c r="AD12" s="30">
        <v>19833844465</v>
      </c>
      <c r="AE12" s="30">
        <v>22266427480</v>
      </c>
      <c r="AF12" s="237"/>
      <c r="AG12" s="235">
        <f>AE12/درآمدها!$J$5</f>
        <v>1.1028413716870784E-2</v>
      </c>
    </row>
    <row r="13" spans="1:34" s="118" customFormat="1" ht="41.25" customHeight="1">
      <c r="A13" s="224" t="s">
        <v>142</v>
      </c>
      <c r="B13" s="113"/>
      <c r="C13" s="119" t="s">
        <v>87</v>
      </c>
      <c r="D13" s="20"/>
      <c r="E13" s="119" t="s">
        <v>87</v>
      </c>
      <c r="F13" s="20"/>
      <c r="G13" s="119" t="s">
        <v>143</v>
      </c>
      <c r="H13" s="20"/>
      <c r="I13" s="119" t="s">
        <v>144</v>
      </c>
      <c r="J13" s="119"/>
      <c r="K13" s="64">
        <v>0.20499999999999999</v>
      </c>
      <c r="L13" s="112"/>
      <c r="M13" s="30">
        <v>355000</v>
      </c>
      <c r="N13" s="104"/>
      <c r="O13" s="30">
        <v>344932059406</v>
      </c>
      <c r="P13" s="30"/>
      <c r="Q13" s="30">
        <v>342867843938</v>
      </c>
      <c r="R13" s="30"/>
      <c r="S13" s="30">
        <v>0</v>
      </c>
      <c r="T13" s="30">
        <v>0</v>
      </c>
      <c r="U13" s="30"/>
      <c r="V13" s="30">
        <v>0</v>
      </c>
      <c r="W13" s="30">
        <v>0</v>
      </c>
      <c r="X13" s="30"/>
      <c r="Y13" s="30">
        <v>355000</v>
      </c>
      <c r="Z13" s="30"/>
      <c r="AA13" s="91">
        <v>966000</v>
      </c>
      <c r="AB13" s="30"/>
      <c r="AC13" s="30">
        <v>344932059406</v>
      </c>
      <c r="AD13" s="30"/>
      <c r="AE13" s="30">
        <v>342867843938</v>
      </c>
      <c r="AF13" s="237"/>
      <c r="AG13" s="235">
        <f>AE13/درآمدها!$J$5</f>
        <v>0.16982016700057312</v>
      </c>
    </row>
    <row r="14" spans="1:34" s="118" customFormat="1" ht="41.25" customHeight="1" thickBot="1">
      <c r="A14" s="224" t="s">
        <v>275</v>
      </c>
      <c r="B14" s="113"/>
      <c r="C14" s="119" t="s">
        <v>87</v>
      </c>
      <c r="D14" s="20"/>
      <c r="E14" s="119" t="s">
        <v>87</v>
      </c>
      <c r="F14" s="20"/>
      <c r="G14" s="119" t="s">
        <v>277</v>
      </c>
      <c r="H14" s="20"/>
      <c r="I14" s="119" t="s">
        <v>279</v>
      </c>
      <c r="J14" s="119"/>
      <c r="K14" s="234">
        <v>0.23</v>
      </c>
      <c r="L14" s="112"/>
      <c r="M14" s="30">
        <v>800000</v>
      </c>
      <c r="N14" s="104"/>
      <c r="O14" s="30">
        <v>800000000000</v>
      </c>
      <c r="P14" s="30"/>
      <c r="Q14" s="30">
        <v>799855000000</v>
      </c>
      <c r="R14" s="30"/>
      <c r="S14" s="30">
        <v>0</v>
      </c>
      <c r="T14" s="30">
        <v>0</v>
      </c>
      <c r="U14" s="30"/>
      <c r="V14" s="30">
        <v>0</v>
      </c>
      <c r="W14" s="30">
        <v>0</v>
      </c>
      <c r="X14" s="30"/>
      <c r="Y14" s="30">
        <v>800000</v>
      </c>
      <c r="Z14" s="30"/>
      <c r="AA14" s="91">
        <v>1000000</v>
      </c>
      <c r="AB14" s="30"/>
      <c r="AC14" s="30">
        <v>800000000000</v>
      </c>
      <c r="AD14" s="30">
        <v>298025973000</v>
      </c>
      <c r="AE14" s="30">
        <v>799855000000</v>
      </c>
      <c r="AF14" s="237"/>
      <c r="AG14" s="235">
        <f>AE14/درآمدها!$J$5</f>
        <v>0.39616287172385145</v>
      </c>
    </row>
    <row r="15" spans="1:34" s="121" customFormat="1" ht="32.25" thickBot="1">
      <c r="A15" s="1" t="s">
        <v>2</v>
      </c>
      <c r="B15" s="120"/>
      <c r="C15" s="120"/>
      <c r="D15" s="120"/>
      <c r="E15" s="120"/>
      <c r="F15" s="120"/>
      <c r="G15" s="120"/>
      <c r="H15" s="120"/>
      <c r="I15" s="120"/>
      <c r="J15" s="120"/>
      <c r="K15" s="401"/>
      <c r="L15" s="401"/>
      <c r="M15" s="402"/>
      <c r="N15" s="94"/>
      <c r="O15" s="403">
        <f>SUM(O9:O14)</f>
        <v>1730211465369</v>
      </c>
      <c r="P15" s="404"/>
      <c r="Q15" s="403">
        <f>SUM(Q9:Q14)</f>
        <v>1778364083215</v>
      </c>
      <c r="R15" s="404"/>
      <c r="S15" s="402"/>
      <c r="T15" s="403">
        <f>SUM(T9:T14)</f>
        <v>0</v>
      </c>
      <c r="U15" s="404"/>
      <c r="V15" s="402"/>
      <c r="W15" s="403">
        <f>SUM(W9:X14)</f>
        <v>49567114333</v>
      </c>
      <c r="X15" s="404"/>
      <c r="Y15" s="402"/>
      <c r="Z15" s="404"/>
      <c r="AA15" s="404"/>
      <c r="AB15" s="404"/>
      <c r="AC15" s="403">
        <f>SUM(AC9:AC14)</f>
        <v>1686155927975</v>
      </c>
      <c r="AD15" s="404"/>
      <c r="AE15" s="403">
        <f>SUM(AE9:AE14)</f>
        <v>1733054326579</v>
      </c>
      <c r="AF15" s="404"/>
      <c r="AG15" s="244">
        <f>SUM(AG9:AG14)</f>
        <v>0.85837030320618379</v>
      </c>
    </row>
    <row r="16" spans="1:34" s="122" customFormat="1" ht="32.25" thickTop="1">
      <c r="M16" s="110"/>
      <c r="N16" s="110"/>
      <c r="P16" s="110"/>
      <c r="R16" s="110"/>
      <c r="S16" s="110"/>
      <c r="U16" s="110"/>
      <c r="V16" s="110"/>
      <c r="X16" s="110"/>
      <c r="Y16" s="110"/>
      <c r="Z16" s="110"/>
      <c r="AA16" s="110"/>
      <c r="AB16" s="110"/>
      <c r="AD16" s="110"/>
      <c r="AF16" s="110"/>
    </row>
    <row r="17" spans="13:31">
      <c r="M17" s="222"/>
      <c r="AC17" s="292"/>
      <c r="AE17" s="222"/>
    </row>
    <row r="18" spans="13:31">
      <c r="W18" s="220"/>
    </row>
    <row r="19" spans="13:31">
      <c r="W19" s="220"/>
    </row>
    <row r="20" spans="13:31">
      <c r="Q20" s="222"/>
    </row>
    <row r="21" spans="13:31">
      <c r="Y21" s="222"/>
    </row>
    <row r="27" spans="13:31">
      <c r="AA27" s="220"/>
      <c r="AC27" s="233"/>
    </row>
    <row r="28" spans="13:31">
      <c r="AA28" s="220"/>
    </row>
    <row r="29" spans="13:31">
      <c r="AA29" s="222"/>
    </row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G22"/>
  <sheetViews>
    <sheetView rightToLeft="1" view="pageBreakPreview" zoomScale="80" zoomScaleNormal="56" zoomScaleSheetLayoutView="80" workbookViewId="0">
      <selection activeCell="I10" sqref="I10"/>
    </sheetView>
  </sheetViews>
  <sheetFormatPr defaultRowHeight="15"/>
  <cols>
    <col min="1" max="1" width="30.42578125" customWidth="1"/>
    <col min="2" max="2" width="2" customWidth="1"/>
    <col min="3" max="3" width="12.5703125" customWidth="1"/>
    <col min="4" max="4" width="2" customWidth="1"/>
    <col min="5" max="5" width="15.5703125" customWidth="1"/>
    <col min="6" max="6" width="2" customWidth="1"/>
    <col min="7" max="7" width="15.7109375" customWidth="1"/>
    <col min="8" max="8" width="2" customWidth="1"/>
    <col min="9" max="9" width="13.28515625" customWidth="1"/>
    <col min="10" max="10" width="2" customWidth="1"/>
    <col min="11" max="11" width="17.5703125" customWidth="1"/>
    <col min="12" max="12" width="2" customWidth="1"/>
    <col min="13" max="13" width="41.28515625" customWidth="1"/>
    <col min="14" max="14" width="20.140625" bestFit="1" customWidth="1"/>
    <col min="15" max="15" width="17.28515625" style="100" customWidth="1"/>
    <col min="16" max="16" width="16.7109375" bestFit="1" customWidth="1"/>
  </cols>
  <sheetData>
    <row r="1" spans="1:33" s="109" customFormat="1" ht="24.75">
      <c r="A1" s="334" t="s">
        <v>84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123"/>
      <c r="O1" s="95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</row>
    <row r="2" spans="1:33" s="109" customFormat="1" ht="24.75">
      <c r="A2" s="334" t="s">
        <v>47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123"/>
      <c r="O2" s="95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</row>
    <row r="3" spans="1:33" s="109" customFormat="1" ht="24.75">
      <c r="A3" s="334" t="str">
        <f>' سهام'!A3:W3</f>
        <v>برای ماه منتهی به 1403/05/31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123"/>
      <c r="O3" s="95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</row>
    <row r="5" spans="1:33" s="124" customFormat="1" ht="22.5">
      <c r="A5" s="335" t="s">
        <v>94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96"/>
      <c r="O5" s="97"/>
      <c r="P5" s="98"/>
    </row>
    <row r="6" spans="1:33" s="124" customFormat="1" ht="22.5">
      <c r="A6" s="335" t="s">
        <v>96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96"/>
      <c r="O6" s="97"/>
      <c r="P6" s="98"/>
    </row>
    <row r="7" spans="1:33" s="124" customFormat="1" ht="47.1" customHeight="1" thickBot="1">
      <c r="A7" s="125"/>
    </row>
    <row r="8" spans="1:33" ht="42">
      <c r="A8" s="126" t="s">
        <v>88</v>
      </c>
      <c r="B8" s="127"/>
      <c r="C8" s="128" t="s">
        <v>89</v>
      </c>
      <c r="D8" s="127"/>
      <c r="E8" s="238" t="s">
        <v>352</v>
      </c>
      <c r="F8" s="127"/>
      <c r="G8" s="238" t="s">
        <v>90</v>
      </c>
      <c r="H8" s="127"/>
      <c r="I8" s="238" t="s">
        <v>91</v>
      </c>
      <c r="J8" s="127"/>
      <c r="K8" s="238" t="s">
        <v>92</v>
      </c>
      <c r="L8" s="127"/>
      <c r="M8" s="238" t="s">
        <v>93</v>
      </c>
      <c r="N8" s="124"/>
      <c r="O8" s="124"/>
      <c r="P8" s="124"/>
      <c r="Q8" s="124"/>
    </row>
    <row r="9" spans="1:33" ht="42" customHeight="1">
      <c r="A9" s="129" t="s">
        <v>262</v>
      </c>
      <c r="B9" s="130"/>
      <c r="C9" s="280">
        <v>215890</v>
      </c>
      <c r="D9" s="130"/>
      <c r="E9" s="135">
        <v>933940</v>
      </c>
      <c r="F9" s="130"/>
      <c r="G9" s="136">
        <v>924872</v>
      </c>
      <c r="H9" s="130"/>
      <c r="I9" s="241">
        <f>G9/E9-1</f>
        <v>-9.7094031736514319E-3</v>
      </c>
      <c r="J9" s="130"/>
      <c r="K9" s="135">
        <f>اوراق!AE10</f>
        <v>199634425783</v>
      </c>
      <c r="L9" s="135"/>
      <c r="M9" s="239" t="s">
        <v>309</v>
      </c>
      <c r="N9" s="99"/>
      <c r="O9" s="133"/>
      <c r="P9" s="106"/>
      <c r="Q9" s="124"/>
    </row>
    <row r="10" spans="1:33" ht="42" customHeight="1">
      <c r="A10" s="134" t="s">
        <v>263</v>
      </c>
      <c r="B10" s="130"/>
      <c r="C10" s="135">
        <v>32000</v>
      </c>
      <c r="D10" s="130"/>
      <c r="E10" s="135">
        <v>713660</v>
      </c>
      <c r="F10" s="130"/>
      <c r="G10" s="136">
        <v>695952</v>
      </c>
      <c r="H10" s="130"/>
      <c r="I10" s="241">
        <f t="shared" ref="I10" si="0">G10/E10-1</f>
        <v>-2.4812936132051711E-2</v>
      </c>
      <c r="J10" s="130"/>
      <c r="K10" s="135">
        <f>اوراق!AE12</f>
        <v>22266427480</v>
      </c>
      <c r="L10" s="135"/>
      <c r="M10" s="239" t="s">
        <v>309</v>
      </c>
      <c r="N10" s="99"/>
      <c r="O10" s="133"/>
      <c r="P10" s="240"/>
      <c r="Q10" s="124"/>
    </row>
    <row r="11" spans="1:33" ht="42" customHeight="1">
      <c r="A11" s="134" t="s">
        <v>350</v>
      </c>
      <c r="B11" s="130"/>
      <c r="C11" s="135">
        <v>33574</v>
      </c>
      <c r="D11" s="130"/>
      <c r="E11" s="135">
        <v>807710</v>
      </c>
      <c r="F11" s="130"/>
      <c r="G11" s="136">
        <v>794818</v>
      </c>
      <c r="H11" s="130"/>
      <c r="I11" s="241">
        <f>G11/E11-1</f>
        <v>-1.5961174183803606E-2</v>
      </c>
      <c r="J11" s="130"/>
      <c r="K11" s="135">
        <f>اوراق!AE11</f>
        <v>26680382838</v>
      </c>
      <c r="L11" s="135"/>
      <c r="M11" s="239" t="s">
        <v>309</v>
      </c>
      <c r="N11" s="99"/>
      <c r="O11" s="133"/>
      <c r="P11" s="106"/>
      <c r="Q11" s="124"/>
    </row>
    <row r="12" spans="1:33" ht="22.5">
      <c r="A12" s="135"/>
      <c r="B12" s="135"/>
      <c r="C12" s="135"/>
      <c r="D12" s="135"/>
      <c r="E12" s="135"/>
      <c r="F12" s="135"/>
      <c r="G12" s="135"/>
      <c r="H12" s="135"/>
      <c r="I12" s="131"/>
      <c r="J12" s="135"/>
      <c r="K12" s="135"/>
      <c r="L12" s="135"/>
      <c r="M12" s="135"/>
      <c r="N12" s="99"/>
      <c r="O12" s="133"/>
      <c r="P12" s="106"/>
      <c r="Q12" s="124"/>
    </row>
    <row r="13" spans="1:33" ht="22.5">
      <c r="C13" s="137"/>
      <c r="L13" s="132"/>
    </row>
    <row r="14" spans="1:33">
      <c r="C14" s="137"/>
      <c r="O14" s="242"/>
    </row>
    <row r="16" spans="1:33" ht="22.5">
      <c r="G16" s="138"/>
      <c r="N16" s="96"/>
    </row>
    <row r="17" spans="5:15" ht="22.5">
      <c r="E17" s="135"/>
      <c r="N17" s="96"/>
      <c r="O17" s="243"/>
    </row>
    <row r="18" spans="5:15" ht="22.5">
      <c r="N18" s="96"/>
    </row>
    <row r="20" spans="5:15">
      <c r="K20" s="137"/>
      <c r="M20" s="139"/>
    </row>
    <row r="21" spans="5:15">
      <c r="K21" s="137"/>
    </row>
    <row r="22" spans="5:15">
      <c r="M22" s="137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  <pageSetUpPr fitToPage="1"/>
  </sheetPr>
  <dimension ref="A1:L36"/>
  <sheetViews>
    <sheetView rightToLeft="1" view="pageBreakPreview" topLeftCell="A21" zoomScale="85" zoomScaleNormal="100" zoomScaleSheetLayoutView="85" workbookViewId="0">
      <selection activeCell="C34" sqref="C34:I34"/>
    </sheetView>
  </sheetViews>
  <sheetFormatPr defaultColWidth="9.140625" defaultRowHeight="15"/>
  <cols>
    <col min="1" max="1" width="38" style="140" customWidth="1"/>
    <col min="2" max="2" width="0.42578125" style="140" customWidth="1"/>
    <col min="3" max="3" width="17" style="70" customWidth="1"/>
    <col min="4" max="4" width="0.7109375" style="140" customWidth="1"/>
    <col min="5" max="5" width="21.85546875" style="140" customWidth="1"/>
    <col min="6" max="6" width="0.42578125" style="140" customWidth="1"/>
    <col min="7" max="7" width="22.140625" style="140" customWidth="1"/>
    <col min="8" max="8" width="0.42578125" style="140" customWidth="1"/>
    <col min="9" max="9" width="16.140625" style="140" customWidth="1"/>
    <col min="10" max="10" width="0.5703125" style="140" customWidth="1"/>
    <col min="11" max="11" width="12.140625" style="140" customWidth="1"/>
    <col min="12" max="12" width="15.7109375" style="140" bestFit="1" customWidth="1"/>
    <col min="13" max="16384" width="9.140625" style="140"/>
  </cols>
  <sheetData>
    <row r="1" spans="1:12" ht="18.75">
      <c r="A1" s="338" t="s">
        <v>84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2" ht="18.75">
      <c r="A2" s="338" t="s">
        <v>47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</row>
    <row r="3" spans="1:12" ht="16.5" customHeight="1">
      <c r="A3" s="338" t="str">
        <f>' سهام'!A3:W3</f>
        <v>برای ماه منتهی به 1403/05/31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</row>
    <row r="4" spans="1:12" ht="18.75">
      <c r="A4" s="341" t="s">
        <v>48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</row>
    <row r="5" spans="1:12" ht="11.25" customHeight="1" thickBot="1">
      <c r="A5" s="141"/>
      <c r="B5" s="142"/>
      <c r="C5" s="65"/>
      <c r="D5" s="142"/>
      <c r="E5" s="142"/>
      <c r="F5" s="142"/>
      <c r="G5" s="142"/>
      <c r="H5" s="142"/>
      <c r="I5" s="142"/>
      <c r="J5" s="142"/>
      <c r="K5" s="142"/>
    </row>
    <row r="6" spans="1:12" ht="18.75" customHeight="1" thickBot="1">
      <c r="A6" s="143"/>
      <c r="B6" s="144"/>
      <c r="C6" s="66" t="s">
        <v>346</v>
      </c>
      <c r="D6" s="145"/>
      <c r="E6" s="337" t="s">
        <v>7</v>
      </c>
      <c r="F6" s="337"/>
      <c r="G6" s="337"/>
      <c r="H6" s="146"/>
      <c r="I6" s="205" t="s">
        <v>354</v>
      </c>
      <c r="J6" s="206"/>
      <c r="K6" s="206"/>
    </row>
    <row r="7" spans="1:12" ht="24" customHeight="1">
      <c r="A7" s="344" t="s">
        <v>8</v>
      </c>
      <c r="B7" s="344"/>
      <c r="C7" s="346" t="s">
        <v>6</v>
      </c>
      <c r="D7" s="147"/>
      <c r="E7" s="348" t="s">
        <v>33</v>
      </c>
      <c r="F7" s="148"/>
      <c r="G7" s="348" t="s">
        <v>34</v>
      </c>
      <c r="H7" s="141"/>
      <c r="I7" s="342" t="s">
        <v>6</v>
      </c>
      <c r="J7" s="344"/>
      <c r="K7" s="339" t="s">
        <v>20</v>
      </c>
    </row>
    <row r="8" spans="1:12" ht="18.75" thickBot="1">
      <c r="A8" s="345"/>
      <c r="B8" s="344"/>
      <c r="C8" s="347"/>
      <c r="D8" s="147"/>
      <c r="E8" s="349"/>
      <c r="F8" s="141"/>
      <c r="G8" s="349"/>
      <c r="H8" s="141"/>
      <c r="I8" s="343"/>
      <c r="J8" s="344"/>
      <c r="K8" s="340"/>
    </row>
    <row r="9" spans="1:12" s="141" customFormat="1" ht="18">
      <c r="A9" s="149" t="s">
        <v>108</v>
      </c>
      <c r="B9" s="68"/>
      <c r="C9" s="68">
        <v>578823</v>
      </c>
      <c r="D9" s="68"/>
      <c r="E9" s="67">
        <v>2451</v>
      </c>
      <c r="F9" s="68"/>
      <c r="G9" s="67">
        <v>0</v>
      </c>
      <c r="H9" s="68"/>
      <c r="I9" s="68">
        <v>581274</v>
      </c>
      <c r="K9" s="69">
        <f>I9/درآمدها!$J$5</f>
        <v>2.8790115345707664E-7</v>
      </c>
      <c r="L9" s="150">
        <f>C9+E9-G9-I9</f>
        <v>0</v>
      </c>
    </row>
    <row r="10" spans="1:12" s="141" customFormat="1" ht="18">
      <c r="A10" s="149" t="s">
        <v>101</v>
      </c>
      <c r="B10" s="68"/>
      <c r="C10" s="68">
        <v>7558507</v>
      </c>
      <c r="D10" s="68"/>
      <c r="E10" s="67">
        <v>1082997358</v>
      </c>
      <c r="F10" s="68"/>
      <c r="G10" s="67">
        <v>1090238000</v>
      </c>
      <c r="H10" s="68"/>
      <c r="I10" s="68">
        <v>317865</v>
      </c>
      <c r="K10" s="69">
        <f>I10/درآمدها!$J$5</f>
        <v>1.5743642437754597E-7</v>
      </c>
      <c r="L10" s="150">
        <f t="shared" ref="L10:L29" si="0">C10+E10-G10-I10</f>
        <v>0</v>
      </c>
    </row>
    <row r="11" spans="1:12" s="141" customFormat="1" ht="18">
      <c r="A11" s="149" t="s">
        <v>102</v>
      </c>
      <c r="B11" s="68"/>
      <c r="C11" s="68">
        <v>136000</v>
      </c>
      <c r="D11" s="68"/>
      <c r="E11" s="67">
        <v>0</v>
      </c>
      <c r="F11" s="68"/>
      <c r="G11" s="67">
        <v>0</v>
      </c>
      <c r="H11" s="68"/>
      <c r="I11" s="68">
        <v>136000</v>
      </c>
      <c r="K11" s="69">
        <f>I11/درآمدها!$J$5</f>
        <v>6.7359897174417609E-8</v>
      </c>
      <c r="L11" s="150">
        <f t="shared" si="0"/>
        <v>0</v>
      </c>
    </row>
    <row r="12" spans="1:12" s="141" customFormat="1" ht="18">
      <c r="A12" s="149" t="s">
        <v>112</v>
      </c>
      <c r="B12" s="68"/>
      <c r="C12" s="68">
        <v>262424</v>
      </c>
      <c r="D12" s="68"/>
      <c r="E12" s="67">
        <v>0</v>
      </c>
      <c r="F12" s="68"/>
      <c r="G12" s="67">
        <v>0</v>
      </c>
      <c r="H12" s="68"/>
      <c r="I12" s="68">
        <v>262424</v>
      </c>
      <c r="K12" s="69">
        <f>I12/درآمدها!$J$5</f>
        <v>1.2997686511837768E-7</v>
      </c>
      <c r="L12" s="150">
        <f t="shared" si="0"/>
        <v>0</v>
      </c>
    </row>
    <row r="13" spans="1:12" s="141" customFormat="1" ht="18.75" customHeight="1">
      <c r="A13" s="149" t="s">
        <v>105</v>
      </c>
      <c r="B13" s="68"/>
      <c r="C13" s="68">
        <v>2455794</v>
      </c>
      <c r="D13" s="68"/>
      <c r="E13" s="67">
        <v>10385</v>
      </c>
      <c r="F13" s="68"/>
      <c r="G13" s="67">
        <v>504000</v>
      </c>
      <c r="H13" s="68"/>
      <c r="I13" s="68">
        <v>1962179</v>
      </c>
      <c r="K13" s="69">
        <f>I13/درآمدها!$J$5</f>
        <v>9.718542329250116E-7</v>
      </c>
      <c r="L13" s="150">
        <f t="shared" si="0"/>
        <v>0</v>
      </c>
    </row>
    <row r="14" spans="1:12" s="141" customFormat="1" ht="19.5" customHeight="1">
      <c r="A14" s="149" t="s">
        <v>114</v>
      </c>
      <c r="B14" s="68"/>
      <c r="C14" s="68">
        <v>366497</v>
      </c>
      <c r="D14" s="68"/>
      <c r="E14" s="67">
        <v>1545</v>
      </c>
      <c r="F14" s="68"/>
      <c r="G14" s="67">
        <v>4000</v>
      </c>
      <c r="H14" s="68"/>
      <c r="I14" s="68">
        <v>364042</v>
      </c>
      <c r="K14" s="69">
        <f>I14/درآمدها!$J$5</f>
        <v>1.8030758593506863E-7</v>
      </c>
      <c r="L14" s="150">
        <f t="shared" si="0"/>
        <v>0</v>
      </c>
    </row>
    <row r="15" spans="1:12" s="141" customFormat="1" ht="19.5" customHeight="1">
      <c r="A15" s="149" t="s">
        <v>146</v>
      </c>
      <c r="B15" s="68"/>
      <c r="C15" s="68">
        <v>1366085</v>
      </c>
      <c r="D15" s="68"/>
      <c r="E15" s="67">
        <v>5785</v>
      </c>
      <c r="F15" s="68"/>
      <c r="G15" s="67">
        <v>504000</v>
      </c>
      <c r="H15" s="68"/>
      <c r="I15" s="68">
        <v>867870</v>
      </c>
      <c r="K15" s="69">
        <f>I15/درآمدها!$J$5</f>
        <v>4.2985024971148391E-7</v>
      </c>
      <c r="L15" s="150">
        <f t="shared" si="0"/>
        <v>0</v>
      </c>
    </row>
    <row r="16" spans="1:12" s="141" customFormat="1" ht="19.5" customHeight="1">
      <c r="A16" s="149" t="s">
        <v>145</v>
      </c>
      <c r="B16" s="68"/>
      <c r="C16" s="68">
        <v>32266489</v>
      </c>
      <c r="D16" s="68"/>
      <c r="E16" s="67">
        <v>0</v>
      </c>
      <c r="F16" s="68"/>
      <c r="G16" s="67">
        <v>504000</v>
      </c>
      <c r="H16" s="68"/>
      <c r="I16" s="68">
        <v>31762489</v>
      </c>
      <c r="K16" s="69">
        <f>I16/درآمدها!$J$5</f>
        <v>1.5731749948849782E-5</v>
      </c>
      <c r="L16" s="150">
        <f t="shared" si="0"/>
        <v>0</v>
      </c>
    </row>
    <row r="17" spans="1:12" s="141" customFormat="1" ht="19.5" customHeight="1">
      <c r="A17" s="149" t="s">
        <v>107</v>
      </c>
      <c r="B17" s="68"/>
      <c r="C17" s="68">
        <v>1298908</v>
      </c>
      <c r="D17" s="68"/>
      <c r="E17" s="67">
        <v>5501</v>
      </c>
      <c r="F17" s="68"/>
      <c r="G17" s="67">
        <v>1008000</v>
      </c>
      <c r="H17" s="68"/>
      <c r="I17" s="68">
        <v>296409</v>
      </c>
      <c r="K17" s="69">
        <f>I17/درآمدها!$J$5</f>
        <v>1.4680941001155846E-7</v>
      </c>
      <c r="L17" s="150">
        <f t="shared" si="0"/>
        <v>0</v>
      </c>
    </row>
    <row r="18" spans="1:12" s="141" customFormat="1" ht="18">
      <c r="A18" s="149" t="s">
        <v>171</v>
      </c>
      <c r="B18" s="68"/>
      <c r="C18" s="68">
        <v>225423125</v>
      </c>
      <c r="D18" s="68"/>
      <c r="E18" s="67">
        <v>211546729398</v>
      </c>
      <c r="F18" s="68"/>
      <c r="G18" s="67">
        <v>159669004715</v>
      </c>
      <c r="H18" s="68"/>
      <c r="I18" s="68">
        <v>52103147808</v>
      </c>
      <c r="K18" s="69">
        <f>I18/درآمدها!$J$5</f>
        <v>2.580634322654678E-2</v>
      </c>
      <c r="L18" s="150">
        <f t="shared" si="0"/>
        <v>0</v>
      </c>
    </row>
    <row r="19" spans="1:12" s="141" customFormat="1" ht="19.5" customHeight="1">
      <c r="A19" s="149" t="s">
        <v>268</v>
      </c>
      <c r="B19" s="68"/>
      <c r="C19" s="68">
        <v>48937500000</v>
      </c>
      <c r="D19" s="68"/>
      <c r="E19" s="67">
        <v>0</v>
      </c>
      <c r="F19" s="68"/>
      <c r="G19" s="67">
        <v>0</v>
      </c>
      <c r="H19" s="68"/>
      <c r="I19" s="68">
        <v>48937500000</v>
      </c>
      <c r="K19" s="69">
        <f>I19/درآمدها!$J$5</f>
        <v>2.4238418882154864E-2</v>
      </c>
      <c r="L19" s="150">
        <f t="shared" si="0"/>
        <v>0</v>
      </c>
    </row>
    <row r="20" spans="1:12" s="141" customFormat="1" ht="19.5" customHeight="1">
      <c r="A20" s="149" t="s">
        <v>282</v>
      </c>
      <c r="B20" s="68"/>
      <c r="C20" s="68">
        <v>1966000000</v>
      </c>
      <c r="D20" s="68"/>
      <c r="E20" s="67">
        <v>0</v>
      </c>
      <c r="F20" s="68"/>
      <c r="G20" s="67">
        <v>0</v>
      </c>
      <c r="H20" s="68"/>
      <c r="I20" s="68">
        <v>1966000000</v>
      </c>
      <c r="K20" s="69">
        <f>I20/درآمدها!$J$5</f>
        <v>9.737467488595957E-4</v>
      </c>
      <c r="L20" s="150">
        <f t="shared" si="0"/>
        <v>0</v>
      </c>
    </row>
    <row r="21" spans="1:12" s="141" customFormat="1" ht="19.5" customHeight="1">
      <c r="A21" s="149" t="s">
        <v>286</v>
      </c>
      <c r="B21" s="68"/>
      <c r="C21" s="68">
        <v>1038000000</v>
      </c>
      <c r="D21" s="68"/>
      <c r="E21" s="67">
        <v>0</v>
      </c>
      <c r="F21" s="68"/>
      <c r="G21" s="67">
        <v>0</v>
      </c>
      <c r="H21" s="68"/>
      <c r="I21" s="68">
        <v>1038000000</v>
      </c>
      <c r="K21" s="69">
        <f>I21/درآمدها!$J$5</f>
        <v>5.1411450931651082E-4</v>
      </c>
      <c r="L21" s="150">
        <f t="shared" si="0"/>
        <v>0</v>
      </c>
    </row>
    <row r="22" spans="1:12" s="141" customFormat="1" ht="18">
      <c r="A22" s="149" t="s">
        <v>293</v>
      </c>
      <c r="B22" s="68"/>
      <c r="C22" s="68">
        <v>14163000000</v>
      </c>
      <c r="D22" s="68"/>
      <c r="E22" s="67">
        <v>0</v>
      </c>
      <c r="F22" s="68"/>
      <c r="G22" s="67">
        <v>0</v>
      </c>
      <c r="H22" s="68"/>
      <c r="I22" s="68">
        <v>14163000000</v>
      </c>
      <c r="K22" s="69">
        <f>I22/درآمدها!$J$5</f>
        <v>7.0148398800093867E-3</v>
      </c>
      <c r="L22" s="150">
        <f t="shared" si="0"/>
        <v>0</v>
      </c>
    </row>
    <row r="23" spans="1:12" s="141" customFormat="1" ht="18">
      <c r="A23" s="149" t="s">
        <v>251</v>
      </c>
      <c r="B23" s="68"/>
      <c r="C23" s="68">
        <v>85781500000</v>
      </c>
      <c r="D23" s="68"/>
      <c r="E23" s="67">
        <v>0</v>
      </c>
      <c r="F23" s="68"/>
      <c r="G23" s="67">
        <v>0</v>
      </c>
      <c r="H23" s="68"/>
      <c r="I23" s="68">
        <v>85781500000</v>
      </c>
      <c r="K23" s="69">
        <f>I23/درآمدها!$J$5</f>
        <v>4.2487007496083119E-2</v>
      </c>
      <c r="L23" s="150">
        <f t="shared" si="0"/>
        <v>0</v>
      </c>
    </row>
    <row r="24" spans="1:12" s="141" customFormat="1" ht="18">
      <c r="A24" s="149" t="s">
        <v>250</v>
      </c>
      <c r="B24" s="68"/>
      <c r="C24" s="68">
        <v>12000000000</v>
      </c>
      <c r="D24" s="68"/>
      <c r="E24" s="67">
        <v>0</v>
      </c>
      <c r="F24" s="68"/>
      <c r="G24" s="67">
        <v>0</v>
      </c>
      <c r="H24" s="68"/>
      <c r="I24" s="68">
        <v>12000000000</v>
      </c>
      <c r="K24" s="69">
        <f>I24/درآمدها!$J$5</f>
        <v>5.9435203389192007E-3</v>
      </c>
      <c r="L24" s="150">
        <f t="shared" si="0"/>
        <v>0</v>
      </c>
    </row>
    <row r="25" spans="1:12" s="141" customFormat="1" ht="18">
      <c r="A25" s="149" t="s">
        <v>228</v>
      </c>
      <c r="B25" s="68"/>
      <c r="C25" s="68">
        <v>2075000000</v>
      </c>
      <c r="D25" s="68"/>
      <c r="E25" s="67">
        <v>0</v>
      </c>
      <c r="F25" s="68"/>
      <c r="G25" s="67">
        <v>0</v>
      </c>
      <c r="H25" s="68"/>
      <c r="I25" s="68">
        <v>2075000000</v>
      </c>
      <c r="K25" s="69">
        <f>I25/درآمدها!$J$5</f>
        <v>1.0277337252714452E-3</v>
      </c>
      <c r="L25" s="150">
        <f t="shared" si="0"/>
        <v>0</v>
      </c>
    </row>
    <row r="26" spans="1:12" s="141" customFormat="1" ht="18">
      <c r="A26" s="149" t="s">
        <v>226</v>
      </c>
      <c r="B26" s="68"/>
      <c r="C26" s="68">
        <v>247000000</v>
      </c>
      <c r="D26" s="68"/>
      <c r="E26" s="67">
        <v>0</v>
      </c>
      <c r="F26" s="68"/>
      <c r="G26" s="67">
        <v>0</v>
      </c>
      <c r="H26" s="68"/>
      <c r="I26" s="68">
        <v>247000000</v>
      </c>
      <c r="K26" s="69">
        <f>I26/درآمدها!$J$5</f>
        <v>1.2233746030942022E-4</v>
      </c>
      <c r="L26" s="150">
        <f t="shared" si="0"/>
        <v>0</v>
      </c>
    </row>
    <row r="27" spans="1:12" s="141" customFormat="1" ht="18">
      <c r="A27" s="149" t="s">
        <v>231</v>
      </c>
      <c r="B27" s="68"/>
      <c r="C27" s="68">
        <v>2190000000</v>
      </c>
      <c r="D27" s="68"/>
      <c r="E27" s="67">
        <v>0</v>
      </c>
      <c r="F27" s="68"/>
      <c r="G27" s="67">
        <v>0</v>
      </c>
      <c r="H27" s="68"/>
      <c r="I27" s="68">
        <v>2190000000</v>
      </c>
      <c r="K27" s="69">
        <f>I27/درآمدها!$J$5</f>
        <v>1.0846924618527541E-3</v>
      </c>
      <c r="L27" s="150">
        <f t="shared" si="0"/>
        <v>0</v>
      </c>
    </row>
    <row r="28" spans="1:12" s="141" customFormat="1" ht="19.5" customHeight="1">
      <c r="A28" s="149" t="s">
        <v>221</v>
      </c>
      <c r="B28" s="68"/>
      <c r="C28" s="68">
        <v>1980000000</v>
      </c>
      <c r="D28" s="68"/>
      <c r="E28" s="67">
        <v>0</v>
      </c>
      <c r="F28" s="68"/>
      <c r="G28" s="67">
        <v>0</v>
      </c>
      <c r="H28" s="68"/>
      <c r="I28" s="68">
        <v>1980000000</v>
      </c>
      <c r="K28" s="69">
        <f>I28/درآمدها!$J$5</f>
        <v>9.8068085592166823E-4</v>
      </c>
      <c r="L28" s="150">
        <f t="shared" si="0"/>
        <v>0</v>
      </c>
    </row>
    <row r="29" spans="1:12" s="141" customFormat="1" ht="19.5" customHeight="1">
      <c r="A29" s="149" t="s">
        <v>225</v>
      </c>
      <c r="B29" s="68"/>
      <c r="C29" s="68">
        <v>2709000000</v>
      </c>
      <c r="D29" s="68"/>
      <c r="E29" s="67">
        <v>0</v>
      </c>
      <c r="F29" s="68"/>
      <c r="G29" s="67">
        <v>0</v>
      </c>
      <c r="H29" s="68"/>
      <c r="I29" s="68">
        <v>2709000000</v>
      </c>
      <c r="K29" s="69">
        <f>I29/درآمدها!$J$5</f>
        <v>1.3417497165110095E-3</v>
      </c>
      <c r="L29" s="150">
        <f t="shared" si="0"/>
        <v>0</v>
      </c>
    </row>
    <row r="30" spans="1:12" s="141" customFormat="1" ht="19.5" customHeight="1">
      <c r="A30" s="149" t="s">
        <v>294</v>
      </c>
      <c r="B30" s="68"/>
      <c r="C30" s="68">
        <v>1922513</v>
      </c>
      <c r="D30" s="68"/>
      <c r="E30" s="67">
        <v>8130</v>
      </c>
      <c r="F30" s="68"/>
      <c r="G30" s="67">
        <v>0</v>
      </c>
      <c r="H30" s="68"/>
      <c r="I30" s="68">
        <v>1930643</v>
      </c>
      <c r="K30" s="69">
        <f>I30/درآمدها!$J$5</f>
        <v>9.5623466147433178E-7</v>
      </c>
      <c r="L30" s="150">
        <f t="shared" ref="L30:L33" si="1">C30+E30-G30-I30</f>
        <v>0</v>
      </c>
    </row>
    <row r="31" spans="1:12" s="141" customFormat="1" ht="19.5" customHeight="1">
      <c r="A31" s="149" t="s">
        <v>220</v>
      </c>
      <c r="B31" s="68"/>
      <c r="C31" s="68">
        <v>795835</v>
      </c>
      <c r="D31" s="68"/>
      <c r="E31" s="67">
        <v>3370</v>
      </c>
      <c r="F31" s="68"/>
      <c r="G31" s="67">
        <v>10000</v>
      </c>
      <c r="H31" s="68"/>
      <c r="I31" s="68">
        <v>789205</v>
      </c>
      <c r="K31" s="69">
        <f>I31/درآمدها!$J$5</f>
        <v>3.9088799742306068E-7</v>
      </c>
      <c r="L31" s="150">
        <f t="shared" si="1"/>
        <v>0</v>
      </c>
    </row>
    <row r="32" spans="1:12" s="141" customFormat="1" ht="19.5" customHeight="1">
      <c r="A32" s="149" t="s">
        <v>104</v>
      </c>
      <c r="B32" s="68"/>
      <c r="C32" s="67">
        <v>2624840</v>
      </c>
      <c r="D32" s="68"/>
      <c r="E32" s="67">
        <v>175102094</v>
      </c>
      <c r="F32" s="68"/>
      <c r="G32" s="67">
        <v>504000</v>
      </c>
      <c r="H32" s="68"/>
      <c r="I32" s="68">
        <v>177222934</v>
      </c>
      <c r="K32" s="69">
        <f>I32/درآمدها!$J$5</f>
        <v>8.7777342729327933E-5</v>
      </c>
      <c r="L32" s="150">
        <f t="shared" si="1"/>
        <v>0</v>
      </c>
    </row>
    <row r="33" spans="1:12" s="141" customFormat="1" ht="19.5" customHeight="1" thickBot="1">
      <c r="A33" s="149" t="s">
        <v>106</v>
      </c>
      <c r="B33" s="68"/>
      <c r="C33" s="68">
        <v>78485208480</v>
      </c>
      <c r="D33" s="68"/>
      <c r="E33" s="67">
        <v>377250170081</v>
      </c>
      <c r="F33" s="68"/>
      <c r="G33" s="67">
        <v>435762690683</v>
      </c>
      <c r="H33" s="68"/>
      <c r="I33" s="68">
        <v>19972687878</v>
      </c>
      <c r="K33" s="69">
        <f>I33/درآمدها!$J$5</f>
        <v>9.8923397188148306E-3</v>
      </c>
      <c r="L33" s="150">
        <f t="shared" si="1"/>
        <v>0</v>
      </c>
    </row>
    <row r="34" spans="1:12" s="252" customFormat="1" ht="18.75" thickBot="1">
      <c r="A34" s="149"/>
      <c r="B34" s="68"/>
      <c r="C34" s="405">
        <f t="shared" ref="C34:K34" si="2">SUM(C9:C33)</f>
        <v>251849264320</v>
      </c>
      <c r="D34" s="291">
        <f t="shared" si="2"/>
        <v>0</v>
      </c>
      <c r="E34" s="405">
        <f t="shared" si="2"/>
        <v>590055036098</v>
      </c>
      <c r="F34" s="291">
        <f t="shared" si="2"/>
        <v>0</v>
      </c>
      <c r="G34" s="405">
        <f t="shared" si="2"/>
        <v>596524971398</v>
      </c>
      <c r="H34" s="291">
        <f t="shared" si="2"/>
        <v>0</v>
      </c>
      <c r="I34" s="405">
        <f t="shared" si="2"/>
        <v>245379329020</v>
      </c>
      <c r="J34" s="291">
        <f t="shared" si="2"/>
        <v>0</v>
      </c>
      <c r="K34" s="293">
        <f t="shared" si="2"/>
        <v>0.12153475273172637</v>
      </c>
      <c r="L34" s="150">
        <f>C34+E34-G34-I34</f>
        <v>0</v>
      </c>
    </row>
    <row r="35" spans="1:12" ht="15.75" thickTop="1"/>
    <row r="36" spans="1:12">
      <c r="E36" s="221"/>
      <c r="G36" s="286"/>
      <c r="I36" s="221"/>
      <c r="K36" s="221"/>
    </row>
  </sheetData>
  <mergeCells count="13">
    <mergeCell ref="E6:G6"/>
    <mergeCell ref="A1:K1"/>
    <mergeCell ref="A2:K2"/>
    <mergeCell ref="A3:K3"/>
    <mergeCell ref="K7:K8"/>
    <mergeCell ref="A4:K4"/>
    <mergeCell ref="I7:I8"/>
    <mergeCell ref="J7:J8"/>
    <mergeCell ref="A7:A8"/>
    <mergeCell ref="B7:B8"/>
    <mergeCell ref="C7:C8"/>
    <mergeCell ref="E7:E8"/>
    <mergeCell ref="G7:G8"/>
  </mergeCells>
  <phoneticPr fontId="55" type="noConversion"/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  <pageSetUpPr fitToPage="1"/>
  </sheetPr>
  <dimension ref="A1:N38"/>
  <sheetViews>
    <sheetView rightToLeft="1" view="pageBreakPreview" zoomScaleNormal="100" zoomScaleSheetLayoutView="100" workbookViewId="0">
      <selection activeCell="J4" sqref="J4"/>
    </sheetView>
  </sheetViews>
  <sheetFormatPr defaultColWidth="9.140625" defaultRowHeight="18"/>
  <cols>
    <col min="1" max="1" width="69.5703125" style="165" bestFit="1" customWidth="1"/>
    <col min="2" max="2" width="1" style="165" customWidth="1"/>
    <col min="3" max="3" width="10.85546875" style="7" bestFit="1" customWidth="1"/>
    <col min="4" max="4" width="1.140625" style="7" customWidth="1"/>
    <col min="5" max="5" width="25.28515625" style="81" bestFit="1" customWidth="1"/>
    <col min="6" max="6" width="1" style="7" customWidth="1"/>
    <col min="7" max="7" width="19.7109375" style="7" customWidth="1"/>
    <col min="8" max="8" width="0.42578125" style="7" customWidth="1"/>
    <col min="9" max="9" width="24.5703125" style="7" customWidth="1"/>
    <col min="10" max="10" width="21.28515625" style="261" bestFit="1" customWidth="1"/>
    <col min="11" max="11" width="21.140625" style="261" bestFit="1" customWidth="1"/>
    <col min="12" max="12" width="22" style="7" bestFit="1" customWidth="1"/>
    <col min="13" max="14" width="13.5703125" style="7" bestFit="1" customWidth="1"/>
    <col min="15" max="16384" width="9.140625" style="7"/>
  </cols>
  <sheetData>
    <row r="1" spans="1:14" ht="21">
      <c r="A1" s="338" t="s">
        <v>84</v>
      </c>
      <c r="B1" s="338"/>
      <c r="C1" s="338"/>
      <c r="D1" s="338"/>
      <c r="E1" s="338"/>
      <c r="F1" s="338"/>
      <c r="G1" s="338"/>
      <c r="H1" s="338"/>
      <c r="I1" s="338"/>
      <c r="J1" s="245"/>
      <c r="K1" s="245"/>
    </row>
    <row r="2" spans="1:14" ht="21">
      <c r="A2" s="338" t="s">
        <v>47</v>
      </c>
      <c r="B2" s="338"/>
      <c r="C2" s="338"/>
      <c r="D2" s="338"/>
      <c r="E2" s="338"/>
      <c r="F2" s="338"/>
      <c r="G2" s="338"/>
      <c r="H2" s="338"/>
      <c r="I2" s="338"/>
      <c r="J2" s="256"/>
      <c r="K2" s="245"/>
    </row>
    <row r="3" spans="1:14" ht="21.75" thickBot="1">
      <c r="A3" s="338" t="str">
        <f>سپرده!A3</f>
        <v>برای ماه منتهی به 1403/05/31</v>
      </c>
      <c r="B3" s="338"/>
      <c r="C3" s="338"/>
      <c r="D3" s="338"/>
      <c r="E3" s="338"/>
      <c r="F3" s="338"/>
      <c r="G3" s="338"/>
      <c r="H3" s="338"/>
      <c r="I3" s="338"/>
      <c r="J3" s="257"/>
      <c r="K3" s="257"/>
    </row>
    <row r="4" spans="1:14" ht="21.75" thickBot="1">
      <c r="A4" s="151" t="s">
        <v>25</v>
      </c>
      <c r="B4" s="152"/>
      <c r="C4" s="152"/>
      <c r="D4" s="152"/>
      <c r="E4" s="152"/>
      <c r="F4" s="152"/>
      <c r="G4" s="152"/>
      <c r="H4" s="152"/>
      <c r="I4" s="152"/>
      <c r="J4" s="254">
        <v>564466831278</v>
      </c>
      <c r="K4" s="255" t="s">
        <v>83</v>
      </c>
      <c r="M4" s="153"/>
    </row>
    <row r="5" spans="1:14" ht="21.75" customHeight="1" thickBot="1">
      <c r="A5" s="151"/>
      <c r="B5" s="151"/>
      <c r="C5" s="151"/>
      <c r="D5" s="151"/>
      <c r="E5" s="350" t="s">
        <v>354</v>
      </c>
      <c r="F5" s="350"/>
      <c r="G5" s="350"/>
      <c r="H5" s="350"/>
      <c r="I5" s="350"/>
      <c r="J5" s="254">
        <v>2019005457325</v>
      </c>
      <c r="K5" s="253" t="s">
        <v>98</v>
      </c>
    </row>
    <row r="6" spans="1:14" ht="21.75" customHeight="1" thickBot="1">
      <c r="A6" s="154" t="s">
        <v>35</v>
      </c>
      <c r="B6" s="155"/>
      <c r="C6" s="156" t="s">
        <v>36</v>
      </c>
      <c r="D6" s="148"/>
      <c r="E6" s="157" t="s">
        <v>6</v>
      </c>
      <c r="F6" s="148"/>
      <c r="G6" s="156" t="s">
        <v>17</v>
      </c>
      <c r="H6" s="148"/>
      <c r="I6" s="156" t="s">
        <v>82</v>
      </c>
      <c r="J6" s="194"/>
      <c r="K6" s="195"/>
    </row>
    <row r="7" spans="1:14" ht="21" customHeight="1">
      <c r="A7" s="158" t="s">
        <v>121</v>
      </c>
      <c r="B7" s="158"/>
      <c r="C7" s="159" t="s">
        <v>49</v>
      </c>
      <c r="D7" s="152"/>
      <c r="E7" s="160">
        <v>0</v>
      </c>
      <c r="F7" s="152"/>
      <c r="G7" s="228">
        <f>E7/$E$11</f>
        <v>0</v>
      </c>
      <c r="H7" s="161"/>
      <c r="I7" s="229">
        <f>E7/$J$5</f>
        <v>0</v>
      </c>
      <c r="J7" s="196"/>
      <c r="K7" s="258"/>
      <c r="L7" s="162"/>
      <c r="M7" s="169"/>
    </row>
    <row r="8" spans="1:14" ht="18.75" customHeight="1">
      <c r="A8" s="158" t="s">
        <v>44</v>
      </c>
      <c r="B8" s="158"/>
      <c r="C8" s="159" t="s">
        <v>50</v>
      </c>
      <c r="D8" s="152"/>
      <c r="E8" s="160">
        <f>'درآمد سرمایه گذاری در اوراق بها'!Q20</f>
        <v>323878031023.70715</v>
      </c>
      <c r="F8" s="152"/>
      <c r="G8" s="228">
        <f t="shared" ref="G8:G10" si="0">E8/$E$11</f>
        <v>0.58037357192351713</v>
      </c>
      <c r="H8" s="161"/>
      <c r="I8" s="229">
        <f t="shared" ref="I8:I10" si="1">E8/$J$5</f>
        <v>0.16041463872654227</v>
      </c>
      <c r="J8" s="162"/>
      <c r="K8" s="162"/>
      <c r="L8" s="162"/>
      <c r="M8" s="168"/>
      <c r="N8" s="168"/>
    </row>
    <row r="9" spans="1:14" ht="18.75" customHeight="1">
      <c r="A9" s="158" t="s">
        <v>45</v>
      </c>
      <c r="B9" s="158"/>
      <c r="C9" s="159" t="s">
        <v>51</v>
      </c>
      <c r="D9" s="152"/>
      <c r="E9" s="160">
        <f>'سود سپرده بانکی'!N116</f>
        <v>234162168871.94421</v>
      </c>
      <c r="F9" s="152"/>
      <c r="G9" s="228">
        <f t="shared" si="0"/>
        <v>0.41960714015709327</v>
      </c>
      <c r="H9" s="161"/>
      <c r="I9" s="229">
        <f t="shared" si="1"/>
        <v>0.11597896777465275</v>
      </c>
      <c r="J9" s="162"/>
      <c r="K9" s="162"/>
      <c r="L9" s="162"/>
      <c r="M9" s="168"/>
    </row>
    <row r="10" spans="1:14" ht="19.5" customHeight="1" thickBot="1">
      <c r="A10" s="158" t="s">
        <v>30</v>
      </c>
      <c r="B10" s="158"/>
      <c r="C10" s="159" t="s">
        <v>52</v>
      </c>
      <c r="D10" s="152"/>
      <c r="E10" s="217">
        <f>'سایر درآمدها'!E9</f>
        <v>10763642</v>
      </c>
      <c r="F10" s="152"/>
      <c r="G10" s="228">
        <f t="shared" si="0"/>
        <v>1.9287919389594933E-5</v>
      </c>
      <c r="H10" s="161"/>
      <c r="I10" s="229">
        <f t="shared" si="1"/>
        <v>5.3311604289870787E-6</v>
      </c>
      <c r="J10" s="162"/>
      <c r="K10" s="162"/>
      <c r="L10" s="162"/>
    </row>
    <row r="11" spans="1:14" ht="19.5" customHeight="1" thickBot="1">
      <c r="A11" s="158" t="s">
        <v>2</v>
      </c>
      <c r="B11" s="163"/>
      <c r="C11" s="141"/>
      <c r="D11" s="141"/>
      <c r="E11" s="164">
        <f>SUM(E7:E10)</f>
        <v>558050963537.65137</v>
      </c>
      <c r="F11" s="141"/>
      <c r="G11" s="230">
        <f>SUM(G7:G10)</f>
        <v>0.99999999999999989</v>
      </c>
      <c r="H11" s="231"/>
      <c r="I11" s="232">
        <f>SUM(I7:I10)</f>
        <v>0.27639893766162404</v>
      </c>
      <c r="J11" s="162"/>
      <c r="K11" s="162"/>
      <c r="L11" s="162"/>
    </row>
    <row r="12" spans="1:14" ht="18.75" customHeight="1" thickTop="1">
      <c r="J12" s="162"/>
      <c r="K12" s="162"/>
      <c r="L12" s="162"/>
    </row>
    <row r="13" spans="1:14" ht="18" customHeight="1">
      <c r="E13" s="208"/>
      <c r="F13" s="167"/>
      <c r="G13" s="167"/>
      <c r="I13" s="168"/>
      <c r="J13" s="162"/>
      <c r="K13" s="162"/>
      <c r="L13" s="162"/>
    </row>
    <row r="14" spans="1:14" ht="18" customHeight="1">
      <c r="E14" s="208"/>
      <c r="F14" s="167"/>
      <c r="G14" s="167"/>
      <c r="J14" s="162"/>
      <c r="K14" s="162"/>
      <c r="L14" s="162"/>
    </row>
    <row r="15" spans="1:14" ht="18" customHeight="1">
      <c r="E15" s="169"/>
      <c r="F15" s="167"/>
      <c r="G15" s="167"/>
      <c r="H15" s="167"/>
      <c r="J15" s="260"/>
      <c r="K15" s="162"/>
      <c r="L15" s="162"/>
      <c r="M15" s="162"/>
    </row>
    <row r="16" spans="1:14" ht="18" customHeight="1">
      <c r="E16" s="170"/>
      <c r="F16" s="167"/>
      <c r="G16" s="167"/>
      <c r="I16" s="168"/>
      <c r="J16" s="171"/>
      <c r="K16" s="171"/>
    </row>
    <row r="17" spans="2:11" ht="17.45" customHeight="1">
      <c r="B17" s="275">
        <v>-356455</v>
      </c>
      <c r="E17" s="167"/>
      <c r="F17" s="167"/>
      <c r="G17" s="167"/>
      <c r="I17" s="168"/>
      <c r="J17" s="171"/>
      <c r="K17" s="171"/>
    </row>
    <row r="18" spans="2:11" ht="17.45" customHeight="1">
      <c r="B18" s="275">
        <v>-205678</v>
      </c>
      <c r="E18" s="167"/>
      <c r="F18" s="167"/>
      <c r="G18" s="167"/>
      <c r="K18" s="262"/>
    </row>
    <row r="19" spans="2:11" ht="17.45" customHeight="1">
      <c r="B19" s="275">
        <v>-566700</v>
      </c>
      <c r="E19" s="167"/>
      <c r="K19" s="262"/>
    </row>
    <row r="20" spans="2:11">
      <c r="B20" s="275">
        <v>-13277232</v>
      </c>
      <c r="C20" s="166"/>
      <c r="E20" s="166"/>
      <c r="G20" s="166"/>
      <c r="J20" s="259"/>
      <c r="K20" s="262"/>
    </row>
    <row r="21" spans="2:11">
      <c r="B21" s="275">
        <v>-44132676</v>
      </c>
      <c r="C21" s="169"/>
      <c r="G21" s="166"/>
      <c r="J21" s="259"/>
      <c r="K21" s="262"/>
    </row>
    <row r="22" spans="2:11">
      <c r="B22" s="275">
        <v>-669467</v>
      </c>
      <c r="G22" s="166"/>
      <c r="K22" s="262"/>
    </row>
    <row r="23" spans="2:11">
      <c r="B23" s="275">
        <v>-278224</v>
      </c>
      <c r="G23" s="169"/>
      <c r="K23" s="262"/>
    </row>
    <row r="24" spans="2:11">
      <c r="B24" s="275">
        <v>-2331466</v>
      </c>
      <c r="K24" s="262"/>
    </row>
    <row r="25" spans="2:11">
      <c r="B25" s="275">
        <v>-17573113</v>
      </c>
      <c r="K25" s="262"/>
    </row>
    <row r="26" spans="2:11">
      <c r="B26" s="275">
        <v>-1408954</v>
      </c>
      <c r="K26" s="262"/>
    </row>
    <row r="27" spans="2:11" ht="18.75" customHeight="1">
      <c r="B27" s="275">
        <v>-1015178</v>
      </c>
      <c r="K27" s="262"/>
    </row>
    <row r="28" spans="2:11">
      <c r="B28" s="275">
        <v>-14498169</v>
      </c>
      <c r="K28" s="262"/>
    </row>
    <row r="29" spans="2:11">
      <c r="B29" s="275">
        <v>-470772</v>
      </c>
      <c r="K29" s="262"/>
    </row>
    <row r="30" spans="2:11">
      <c r="B30" s="275">
        <v>-854039</v>
      </c>
      <c r="K30" s="262"/>
    </row>
    <row r="31" spans="2:11">
      <c r="B31" s="275">
        <v>-2219417</v>
      </c>
      <c r="K31" s="262"/>
    </row>
    <row r="32" spans="2:11">
      <c r="B32" s="275">
        <v>-3940834</v>
      </c>
      <c r="K32" s="262"/>
    </row>
    <row r="33" spans="11:11">
      <c r="K33" s="262"/>
    </row>
    <row r="34" spans="11:11">
      <c r="K34" s="262"/>
    </row>
    <row r="36" spans="11:11" ht="18.75" customHeight="1"/>
    <row r="37" spans="11:11" ht="17.45" customHeight="1"/>
    <row r="38" spans="11:11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2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79998168889431442"/>
    <pageSetUpPr fitToPage="1"/>
  </sheetPr>
  <dimension ref="A1:U20"/>
  <sheetViews>
    <sheetView rightToLeft="1" view="pageBreakPreview" zoomScale="55" zoomScaleNormal="100" zoomScaleSheetLayoutView="55" workbookViewId="0">
      <selection activeCell="M8" sqref="M8:M9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351" t="s">
        <v>84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</row>
    <row r="2" spans="1:21" ht="27.75">
      <c r="A2" s="351" t="s">
        <v>53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ht="27.75">
      <c r="A3" s="351" t="str">
        <f>' سهام'!A3:W3</f>
        <v>برای ماه منتهی به 1403/05/31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</row>
    <row r="5" spans="1:21" s="39" customFormat="1" ht="27.75">
      <c r="A5" s="324" t="s">
        <v>26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57" t="s">
        <v>348</v>
      </c>
      <c r="D7" s="357"/>
      <c r="E7" s="357"/>
      <c r="F7" s="357"/>
      <c r="G7" s="357"/>
      <c r="H7" s="357"/>
      <c r="I7" s="357"/>
      <c r="J7" s="357"/>
      <c r="K7" s="357"/>
      <c r="L7" s="9"/>
      <c r="M7" s="357" t="s">
        <v>347</v>
      </c>
      <c r="N7" s="357"/>
      <c r="O7" s="357"/>
      <c r="P7" s="357"/>
      <c r="Q7" s="357"/>
      <c r="R7" s="357"/>
      <c r="S7" s="357"/>
      <c r="T7" s="357"/>
      <c r="U7" s="357"/>
    </row>
    <row r="8" spans="1:21" s="19" customFormat="1" ht="24.75" customHeight="1">
      <c r="A8" s="366" t="s">
        <v>22</v>
      </c>
      <c r="B8" s="366"/>
      <c r="C8" s="352" t="s">
        <v>10</v>
      </c>
      <c r="D8" s="368"/>
      <c r="E8" s="354" t="s">
        <v>11</v>
      </c>
      <c r="F8" s="361"/>
      <c r="G8" s="354" t="s">
        <v>12</v>
      </c>
      <c r="H8" s="364"/>
      <c r="I8" s="356" t="s">
        <v>2</v>
      </c>
      <c r="J8" s="356"/>
      <c r="K8" s="356"/>
      <c r="L8" s="366"/>
      <c r="M8" s="352" t="s">
        <v>10</v>
      </c>
      <c r="N8" s="358"/>
      <c r="O8" s="354" t="s">
        <v>11</v>
      </c>
      <c r="P8" s="361"/>
      <c r="Q8" s="354" t="s">
        <v>12</v>
      </c>
      <c r="R8" s="361"/>
      <c r="S8" s="356" t="s">
        <v>2</v>
      </c>
      <c r="T8" s="356"/>
      <c r="U8" s="356"/>
    </row>
    <row r="9" spans="1:21" s="19" customFormat="1" ht="6" customHeight="1" thickBot="1">
      <c r="A9" s="366"/>
      <c r="B9" s="366"/>
      <c r="C9" s="353"/>
      <c r="D9" s="366"/>
      <c r="E9" s="355"/>
      <c r="F9" s="362"/>
      <c r="G9" s="355"/>
      <c r="H9" s="365"/>
      <c r="I9" s="357"/>
      <c r="J9" s="357"/>
      <c r="K9" s="357"/>
      <c r="L9" s="366"/>
      <c r="M9" s="353"/>
      <c r="N9" s="359"/>
      <c r="O9" s="355"/>
      <c r="P9" s="362"/>
      <c r="Q9" s="355"/>
      <c r="R9" s="362"/>
      <c r="S9" s="357"/>
      <c r="T9" s="357"/>
      <c r="U9" s="357"/>
    </row>
    <row r="10" spans="1:21" s="19" customFormat="1" ht="42.75" customHeight="1" thickBot="1">
      <c r="A10" s="367"/>
      <c r="B10" s="366"/>
      <c r="C10" s="50" t="s">
        <v>56</v>
      </c>
      <c r="D10" s="366"/>
      <c r="E10" s="51" t="s">
        <v>57</v>
      </c>
      <c r="F10" s="363"/>
      <c r="G10" s="51" t="s">
        <v>58</v>
      </c>
      <c r="H10" s="365"/>
      <c r="I10" s="10" t="s">
        <v>6</v>
      </c>
      <c r="J10" s="10"/>
      <c r="K10" s="49" t="s">
        <v>17</v>
      </c>
      <c r="L10" s="366"/>
      <c r="M10" s="50" t="s">
        <v>56</v>
      </c>
      <c r="N10" s="360"/>
      <c r="O10" s="51" t="s">
        <v>57</v>
      </c>
      <c r="P10" s="363"/>
      <c r="Q10" s="51" t="s">
        <v>58</v>
      </c>
      <c r="R10" s="363"/>
      <c r="S10" s="11" t="s">
        <v>6</v>
      </c>
      <c r="T10" s="11"/>
      <c r="U10" s="49" t="s">
        <v>17</v>
      </c>
    </row>
    <row r="11" spans="1:21" s="20" customFormat="1" ht="30.75">
      <c r="A11" s="61" t="s">
        <v>86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79998168889431442"/>
    <pageSetUpPr fitToPage="1"/>
  </sheetPr>
  <dimension ref="A1:Q21"/>
  <sheetViews>
    <sheetView rightToLeft="1" view="pageBreakPreview" topLeftCell="A2" zoomScale="85" zoomScaleNormal="100" zoomScaleSheetLayoutView="85" workbookViewId="0">
      <selection activeCell="E20" sqref="E20"/>
    </sheetView>
  </sheetViews>
  <sheetFormatPr defaultColWidth="9.140625" defaultRowHeight="21.75"/>
  <cols>
    <col min="1" max="1" width="34.42578125" style="109" bestFit="1" customWidth="1"/>
    <col min="2" max="2" width="0.42578125" style="109" customWidth="1"/>
    <col min="3" max="3" width="21.140625" style="109" bestFit="1" customWidth="1"/>
    <col min="4" max="4" width="0.7109375" style="109" customWidth="1"/>
    <col min="5" max="5" width="20" style="109" bestFit="1" customWidth="1"/>
    <col min="6" max="6" width="0.5703125" style="109" customWidth="1"/>
    <col min="7" max="7" width="18.140625" style="109" customWidth="1"/>
    <col min="8" max="8" width="0.5703125" style="109" customWidth="1"/>
    <col min="9" max="9" width="22.85546875" style="109" bestFit="1" customWidth="1"/>
    <col min="10" max="10" width="0.42578125" style="109" customWidth="1"/>
    <col min="11" max="11" width="22.85546875" style="109" bestFit="1" customWidth="1"/>
    <col min="12" max="12" width="0.5703125" style="109" customWidth="1"/>
    <col min="13" max="13" width="21.140625" style="109" bestFit="1" customWidth="1"/>
    <col min="14" max="14" width="0.85546875" style="109" customWidth="1"/>
    <col min="15" max="15" width="21.140625" style="109" bestFit="1" customWidth="1"/>
    <col min="16" max="16" width="0.5703125" style="109" customWidth="1"/>
    <col min="17" max="17" width="22.85546875" style="109" bestFit="1" customWidth="1"/>
    <col min="18" max="18" width="9.140625" style="109"/>
    <col min="19" max="19" width="12.7109375" style="109" bestFit="1" customWidth="1"/>
    <col min="20" max="16384" width="9.140625" style="109"/>
  </cols>
  <sheetData>
    <row r="1" spans="1:17" ht="21" customHeight="1">
      <c r="A1" s="369" t="s">
        <v>84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2" spans="1:17" ht="21.75" customHeight="1">
      <c r="A2" s="369" t="s">
        <v>53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</row>
    <row r="3" spans="1:17" ht="23.25" customHeight="1">
      <c r="A3" s="369" t="str">
        <f>' سهام'!A3:W3</f>
        <v>برای ماه منتهی به 1403/05/31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</row>
    <row r="4" spans="1:17">
      <c r="A4" s="341" t="s">
        <v>27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</row>
    <row r="5" spans="1:17" ht="4.5" customHeight="1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</row>
    <row r="6" spans="1:17" ht="22.5" customHeight="1" thickBot="1">
      <c r="A6" s="179"/>
      <c r="B6" s="180"/>
      <c r="C6" s="372" t="s">
        <v>348</v>
      </c>
      <c r="D6" s="372"/>
      <c r="E6" s="372"/>
      <c r="F6" s="372"/>
      <c r="G6" s="372"/>
      <c r="H6" s="372"/>
      <c r="I6" s="372"/>
      <c r="J6" s="145"/>
      <c r="K6" s="372" t="s">
        <v>349</v>
      </c>
      <c r="L6" s="372"/>
      <c r="M6" s="372"/>
      <c r="N6" s="372"/>
      <c r="O6" s="372"/>
      <c r="P6" s="372"/>
      <c r="Q6" s="372"/>
    </row>
    <row r="7" spans="1:17" ht="15.75" customHeight="1">
      <c r="A7" s="373"/>
      <c r="B7" s="374"/>
      <c r="C7" s="370" t="s">
        <v>13</v>
      </c>
      <c r="D7" s="370"/>
      <c r="E7" s="370" t="s">
        <v>11</v>
      </c>
      <c r="F7" s="373"/>
      <c r="G7" s="370" t="s">
        <v>12</v>
      </c>
      <c r="H7" s="373"/>
      <c r="I7" s="370" t="s">
        <v>2</v>
      </c>
      <c r="J7" s="181"/>
      <c r="K7" s="370" t="s">
        <v>13</v>
      </c>
      <c r="L7" s="370"/>
      <c r="M7" s="370" t="s">
        <v>11</v>
      </c>
      <c r="N7" s="373"/>
      <c r="O7" s="370" t="s">
        <v>12</v>
      </c>
      <c r="P7" s="373"/>
      <c r="Q7" s="370" t="s">
        <v>2</v>
      </c>
    </row>
    <row r="8" spans="1:17" ht="12" customHeight="1">
      <c r="A8" s="374"/>
      <c r="B8" s="374"/>
      <c r="C8" s="371"/>
      <c r="D8" s="371"/>
      <c r="E8" s="371"/>
      <c r="F8" s="374"/>
      <c r="G8" s="371"/>
      <c r="H8" s="374"/>
      <c r="I8" s="371"/>
      <c r="J8" s="181"/>
      <c r="K8" s="371"/>
      <c r="L8" s="371"/>
      <c r="M8" s="371"/>
      <c r="N8" s="374"/>
      <c r="O8" s="371"/>
      <c r="P8" s="374"/>
      <c r="Q8" s="371"/>
    </row>
    <row r="9" spans="1:17" ht="20.25" customHeight="1" thickBot="1">
      <c r="A9" s="374"/>
      <c r="B9" s="374"/>
      <c r="C9" s="182" t="s">
        <v>61</v>
      </c>
      <c r="D9" s="371"/>
      <c r="E9" s="182" t="s">
        <v>57</v>
      </c>
      <c r="F9" s="374"/>
      <c r="G9" s="182" t="s">
        <v>58</v>
      </c>
      <c r="H9" s="374"/>
      <c r="I9" s="372"/>
      <c r="J9" s="183"/>
      <c r="K9" s="182" t="s">
        <v>61</v>
      </c>
      <c r="L9" s="371"/>
      <c r="M9" s="182" t="s">
        <v>57</v>
      </c>
      <c r="N9" s="374"/>
      <c r="O9" s="182" t="s">
        <v>58</v>
      </c>
      <c r="P9" s="374"/>
      <c r="Q9" s="372"/>
    </row>
    <row r="10" spans="1:17" ht="27.75" customHeight="1">
      <c r="A10" s="145" t="s">
        <v>213</v>
      </c>
      <c r="B10" s="145"/>
      <c r="C10" s="71"/>
      <c r="D10" s="181"/>
      <c r="E10" s="71">
        <f>VLOOKUP(A10,'درآمد ناشی از تغییر قیمت اوراق '!$A$7:$Q$12,9,0)</f>
        <v>-1460660220</v>
      </c>
      <c r="F10" s="145"/>
      <c r="G10" s="71">
        <f>VLOOKUP(A10,'درآمد ناشی ازفروش'!$A$7:$Q$14,9,0)</f>
        <v>5511576939</v>
      </c>
      <c r="H10" s="145"/>
      <c r="I10" s="71">
        <f>G10+E10+C10</f>
        <v>4050916719</v>
      </c>
      <c r="J10" s="183"/>
      <c r="K10" s="71">
        <f>IFERROR(VLOOKUP(A10,'سود اوراق بهادار'!$A$7:$Q$12,17,0),0)</f>
        <v>0</v>
      </c>
      <c r="L10" s="181"/>
      <c r="M10" s="71">
        <f>VLOOKUP(A10,'درآمد ناشی از تغییر قیمت اوراق '!$A$7:$Q$12,17,0)</f>
        <v>23502018969</v>
      </c>
      <c r="N10" s="145"/>
      <c r="O10" s="71">
        <f>VLOOKUP(A10,'درآمد ناشی ازفروش'!$A$7:$Q$14,17,0)</f>
        <v>9004145019.9064026</v>
      </c>
      <c r="P10" s="145"/>
      <c r="Q10" s="71">
        <f>K10+M10+O10</f>
        <v>32506163988.906403</v>
      </c>
    </row>
    <row r="11" spans="1:17" ht="27.75" customHeight="1">
      <c r="A11" s="145" t="s">
        <v>142</v>
      </c>
      <c r="B11" s="145"/>
      <c r="C11" s="71">
        <f>VLOOKUP(A11,'سود اوراق بهادار'!$A$7:$Q$12,11,0)</f>
        <v>6229094638</v>
      </c>
      <c r="D11" s="181"/>
      <c r="E11" s="78">
        <f>VLOOKUP(A11,'درآمد ناشی از تغییر قیمت اوراق '!$A$7:$Q$12,9,0)</f>
        <v>0</v>
      </c>
      <c r="F11" s="145"/>
      <c r="G11" s="71">
        <f>VLOOKUP(A11,'درآمد ناشی ازفروش'!$A$7:$Q$14,9,0)</f>
        <v>0</v>
      </c>
      <c r="H11" s="145"/>
      <c r="I11" s="71">
        <f t="shared" ref="I11:I19" si="0">G11+E11+C11</f>
        <v>6229094638</v>
      </c>
      <c r="J11" s="183"/>
      <c r="K11" s="71">
        <f>IFERROR(VLOOKUP(A11,'سود اوراق بهادار'!$A$7:$Q$12,17,0),0)</f>
        <v>51047972565</v>
      </c>
      <c r="L11" s="181"/>
      <c r="M11" s="71">
        <f>VLOOKUP(A11,'درآمد ناشی از تغییر قیمت اوراق '!$A$7:$Q$12,17,0)</f>
        <v>-4543176400</v>
      </c>
      <c r="N11" s="145"/>
      <c r="O11" s="71">
        <f>VLOOKUP(A11,'درآمد ناشی ازفروش'!$A$7:$Q$14,17,0)</f>
        <v>-1010445125</v>
      </c>
      <c r="P11" s="145"/>
      <c r="Q11" s="71">
        <f t="shared" ref="Q11:Q19" si="1">K11+M11+O11</f>
        <v>45494351040</v>
      </c>
    </row>
    <row r="12" spans="1:17" ht="27.75" customHeight="1">
      <c r="A12" s="145" t="s">
        <v>109</v>
      </c>
      <c r="B12" s="145"/>
      <c r="C12" s="71">
        <f>VLOOKUP(A12,'سود اوراق بهادار'!$A$7:$Q$12,11,0)</f>
        <v>4929971578</v>
      </c>
      <c r="D12" s="181"/>
      <c r="E12" s="78">
        <f>VLOOKUP(A12,'درآمد ناشی از تغییر قیمت اوراق '!$A$7:$Q$12,9,0)</f>
        <v>0</v>
      </c>
      <c r="F12" s="145"/>
      <c r="G12" s="71">
        <f>VLOOKUP(A12,'درآمد ناشی ازفروش'!$A$7:$Q$14,9,0)</f>
        <v>0</v>
      </c>
      <c r="H12" s="145"/>
      <c r="I12" s="71">
        <f t="shared" si="0"/>
        <v>4929971578</v>
      </c>
      <c r="J12" s="183"/>
      <c r="K12" s="71">
        <f>IFERROR(VLOOKUP(A12,'سود اوراق بهادار'!$A$7:$Q$12,17,0),0)</f>
        <v>46176122438</v>
      </c>
      <c r="L12" s="181"/>
      <c r="M12" s="71">
        <f>VLOOKUP(A12,'درآمد ناشی از تغییر قیمت اوراق '!$A$7:$Q$12,17,0)</f>
        <v>21993213009</v>
      </c>
      <c r="N12" s="145"/>
      <c r="O12" s="71">
        <f>VLOOKUP(A12,'درآمد ناشی ازفروش'!$A$7:$Q$14,17,0)</f>
        <v>3876077656</v>
      </c>
      <c r="P12" s="145"/>
      <c r="Q12" s="71">
        <f t="shared" si="1"/>
        <v>72045413103</v>
      </c>
    </row>
    <row r="13" spans="1:17" ht="27.75" customHeight="1">
      <c r="A13" s="145" t="s">
        <v>166</v>
      </c>
      <c r="B13" s="145"/>
      <c r="C13" s="71">
        <f>VLOOKUP(A13,'سود اوراق بهادار'!$A$7:$Q$12,11,0)</f>
        <v>0</v>
      </c>
      <c r="D13" s="181"/>
      <c r="E13" s="78"/>
      <c r="F13" s="145"/>
      <c r="G13" s="71">
        <f>VLOOKUP(A13,'درآمد ناشی ازفروش'!$A$7:$Q$14,9,0)</f>
        <v>0</v>
      </c>
      <c r="H13" s="145"/>
      <c r="I13" s="71">
        <f t="shared" si="0"/>
        <v>0</v>
      </c>
      <c r="J13" s="183"/>
      <c r="K13" s="71">
        <f>IFERROR(VLOOKUP(A13,'سود اوراق بهادار'!$A$7:$Q$12,17,0),0)</f>
        <v>8269843927</v>
      </c>
      <c r="L13" s="181"/>
      <c r="M13" s="71"/>
      <c r="N13" s="145"/>
      <c r="O13" s="71">
        <f>VLOOKUP(A13,'درآمد ناشی ازفروش'!$A$7:$Q$14,17,0)</f>
        <v>-78000000</v>
      </c>
      <c r="P13" s="145"/>
      <c r="Q13" s="71">
        <f t="shared" si="1"/>
        <v>8191843927</v>
      </c>
    </row>
    <row r="14" spans="1:17" ht="27.75" customHeight="1">
      <c r="A14" s="145" t="s">
        <v>130</v>
      </c>
      <c r="B14" s="145"/>
      <c r="C14" s="71">
        <f>VLOOKUP(A14,'سود اوراق بهادار'!$A$7:$Q$12,11,0)</f>
        <v>0</v>
      </c>
      <c r="D14" s="181"/>
      <c r="E14" s="71"/>
      <c r="F14" s="145"/>
      <c r="G14" s="71">
        <f>VLOOKUP(A14,'درآمد ناشی ازفروش'!$A$7:$Q$14,9,0)</f>
        <v>0</v>
      </c>
      <c r="H14" s="145"/>
      <c r="I14" s="71">
        <f t="shared" si="0"/>
        <v>0</v>
      </c>
      <c r="J14" s="183"/>
      <c r="K14" s="71">
        <f>IFERROR(VLOOKUP(A14,'سود اوراق بهادار'!$A$7:$Q$12,17,0),0)</f>
        <v>38098063699</v>
      </c>
      <c r="L14" s="181"/>
      <c r="M14" s="71"/>
      <c r="N14" s="145"/>
      <c r="O14" s="71">
        <f>VLOOKUP(A14,'درآمد ناشی ازفروش'!$A$7:$Q$14,17,0)</f>
        <v>19836866289</v>
      </c>
      <c r="P14" s="145"/>
      <c r="Q14" s="71">
        <f t="shared" si="1"/>
        <v>57934929988</v>
      </c>
    </row>
    <row r="15" spans="1:17" ht="27.75" customHeight="1">
      <c r="A15" s="145" t="s">
        <v>214</v>
      </c>
      <c r="B15" s="145"/>
      <c r="C15" s="71"/>
      <c r="D15" s="181"/>
      <c r="E15" s="71"/>
      <c r="F15" s="145"/>
      <c r="G15" s="71">
        <f>VLOOKUP(A15,'درآمد ناشی ازفروش'!$A$7:$Q$14,9,0)</f>
        <v>0</v>
      </c>
      <c r="H15" s="145"/>
      <c r="I15" s="71">
        <f t="shared" si="0"/>
        <v>0</v>
      </c>
      <c r="J15" s="183"/>
      <c r="K15" s="71">
        <f>IFERROR(VLOOKUP(A15,'سود اوراق بهادار'!$A$7:$Q$12,17,0),0)</f>
        <v>0</v>
      </c>
      <c r="L15" s="181"/>
      <c r="M15" s="71"/>
      <c r="N15" s="145"/>
      <c r="O15" s="71">
        <f>VLOOKUP(A15,'درآمد ناشی ازفروش'!$A$7:$Q$14,17,0)</f>
        <v>26923583028.80072</v>
      </c>
      <c r="P15" s="145"/>
      <c r="Q15" s="71">
        <f t="shared" si="1"/>
        <v>26923583028.80072</v>
      </c>
    </row>
    <row r="16" spans="1:17" ht="27.75" customHeight="1">
      <c r="A16" s="145" t="s">
        <v>165</v>
      </c>
      <c r="B16" s="145"/>
      <c r="C16" s="71"/>
      <c r="D16" s="181"/>
      <c r="E16" s="71">
        <f>VLOOKUP(A16,'درآمد ناشی از تغییر قیمت اوراق '!$A$7:$Q$12,9,0)</f>
        <v>18460655</v>
      </c>
      <c r="F16" s="145"/>
      <c r="G16" s="71"/>
      <c r="H16" s="145"/>
      <c r="I16" s="71">
        <f t="shared" si="0"/>
        <v>18460655</v>
      </c>
      <c r="J16" s="183"/>
      <c r="K16" s="71">
        <f>IFERROR(VLOOKUP(A16,'سود اوراق بهادار'!$A$7:$Q$12,17,0),0)</f>
        <v>0</v>
      </c>
      <c r="L16" s="181"/>
      <c r="M16" s="71">
        <f>VLOOKUP(A16,'درآمد ناشی از تغییر قیمت اوراق '!$A$7:$Q$12,17,0)</f>
        <v>2496515837</v>
      </c>
      <c r="N16" s="145"/>
      <c r="O16" s="71"/>
      <c r="P16" s="145"/>
      <c r="Q16" s="71">
        <f t="shared" si="1"/>
        <v>2496515837</v>
      </c>
    </row>
    <row r="17" spans="1:17" ht="27.75" customHeight="1">
      <c r="A17" s="145" t="s">
        <v>275</v>
      </c>
      <c r="B17" s="145"/>
      <c r="C17" s="71">
        <f>VLOOKUP(A17,'سود اوراق بهادار'!$A$7:$Q$12,11,0)</f>
        <v>23389619334</v>
      </c>
      <c r="D17" s="181"/>
      <c r="E17" s="71">
        <f>VLOOKUP(A17,'درآمد ناشی از تغییر قیمت اوراق '!$A$7:$Q$12,9,0)</f>
        <v>0</v>
      </c>
      <c r="F17" s="145"/>
      <c r="G17" s="71">
        <f>VLOOKUP(A17,'درآمد ناشی ازفروش'!$A$7:$Q$14,9,0)</f>
        <v>0</v>
      </c>
      <c r="H17" s="145"/>
      <c r="I17" s="71">
        <f t="shared" si="0"/>
        <v>23389619334</v>
      </c>
      <c r="J17" s="183"/>
      <c r="K17" s="71">
        <f>IFERROR(VLOOKUP(A17,'سود اوراق بهادار'!$A$7:$Q$12,17,0),0)</f>
        <v>75868481553</v>
      </c>
      <c r="L17" s="181"/>
      <c r="M17" s="71">
        <f>VLOOKUP(A17,'درآمد ناشی از تغییر قیمت اوراق '!$A$7:$Q$12,17,0)</f>
        <v>-145000000</v>
      </c>
      <c r="N17" s="145"/>
      <c r="O17" s="71">
        <f>VLOOKUP(A17,'درآمد ناشی ازفروش'!$A$7:$Q$14,17,0)</f>
        <v>-18750000</v>
      </c>
      <c r="P17" s="145"/>
      <c r="Q17" s="71">
        <f t="shared" si="1"/>
        <v>75704731553</v>
      </c>
    </row>
    <row r="18" spans="1:17" ht="27.75" customHeight="1">
      <c r="A18" s="145" t="s">
        <v>274</v>
      </c>
      <c r="B18" s="145"/>
      <c r="C18" s="71"/>
      <c r="D18" s="181"/>
      <c r="E18" s="71">
        <f>VLOOKUP(A18,'درآمد ناشی از تغییر قیمت اوراق '!$A$7:$Q$12,9,0)</f>
        <v>187980323</v>
      </c>
      <c r="F18" s="145"/>
      <c r="G18" s="71"/>
      <c r="H18" s="145"/>
      <c r="I18" s="71">
        <f t="shared" si="0"/>
        <v>187980323</v>
      </c>
      <c r="J18" s="183"/>
      <c r="K18" s="71">
        <f>IFERROR(VLOOKUP(A18,'سود اوراق بهادار'!$A$7:$Q$12,17,0),0)</f>
        <v>0</v>
      </c>
      <c r="L18" s="181"/>
      <c r="M18" s="71">
        <f>VLOOKUP(A18,'درآمد ناشی از تغییر قیمت اوراق '!$A$7:$Q$12,17,0)</f>
        <v>1943448110</v>
      </c>
      <c r="N18" s="145"/>
      <c r="O18" s="71"/>
      <c r="P18" s="145"/>
      <c r="Q18" s="71">
        <f t="shared" si="1"/>
        <v>1943448110</v>
      </c>
    </row>
    <row r="19" spans="1:17" ht="27.75" customHeight="1">
      <c r="A19" s="145" t="s">
        <v>129</v>
      </c>
      <c r="B19" s="145"/>
      <c r="C19" s="71">
        <f>VLOOKUP(A19,'سود اوراق بهادار'!$A$7:$Q$12,11,0)</f>
        <v>0</v>
      </c>
      <c r="D19" s="181"/>
      <c r="E19" s="71"/>
      <c r="F19" s="145"/>
      <c r="G19" s="71">
        <f>VLOOKUP(A19,'درآمد ناشی ازفروش'!$A$7:$Q$14,9,0)</f>
        <v>0</v>
      </c>
      <c r="H19" s="145"/>
      <c r="I19" s="71">
        <f t="shared" si="0"/>
        <v>0</v>
      </c>
      <c r="J19" s="183"/>
      <c r="K19" s="71">
        <f>IFERROR(VLOOKUP(A19,'سود اوراق بهادار'!$A$7:$Q$12,17,0),0)</f>
        <v>760435788</v>
      </c>
      <c r="L19" s="181"/>
      <c r="M19" s="71"/>
      <c r="N19" s="145"/>
      <c r="O19" s="71">
        <f>VLOOKUP(A19,'درآمد ناشی ازفروش'!$A$7:$Q$14,17,0)</f>
        <v>-123385340</v>
      </c>
      <c r="P19" s="145"/>
      <c r="Q19" s="71">
        <f t="shared" si="1"/>
        <v>637050448</v>
      </c>
    </row>
    <row r="20" spans="1:17" ht="29.25" customHeight="1" thickBot="1">
      <c r="A20" s="290" t="s">
        <v>2</v>
      </c>
      <c r="B20" s="184"/>
      <c r="C20" s="294">
        <f>SUM(C10:C19)</f>
        <v>34548685550</v>
      </c>
      <c r="D20" s="295" t="e">
        <f>SUM(#REF!)</f>
        <v>#REF!</v>
      </c>
      <c r="E20" s="294">
        <f>SUM(E10:E19)</f>
        <v>-1254219242</v>
      </c>
      <c r="F20" s="295" t="e">
        <f>SUM(#REF!)</f>
        <v>#REF!</v>
      </c>
      <c r="G20" s="294">
        <f>SUM(G10:G19)</f>
        <v>5511576939</v>
      </c>
      <c r="H20" s="295" t="e">
        <f>SUM(#REF!)</f>
        <v>#REF!</v>
      </c>
      <c r="I20" s="294">
        <f>SUM(I10:I19)</f>
        <v>38806043247</v>
      </c>
      <c r="J20" s="295" t="e">
        <f>SUM(#REF!)</f>
        <v>#REF!</v>
      </c>
      <c r="K20" s="294">
        <f>SUM(K10:K19)</f>
        <v>220220919970</v>
      </c>
      <c r="L20" s="295" t="e">
        <f>SUM(#REF!)</f>
        <v>#REF!</v>
      </c>
      <c r="M20" s="294">
        <f>SUM(M10:M19)</f>
        <v>45247019525</v>
      </c>
      <c r="N20" s="295" t="e">
        <f>SUM(#REF!)</f>
        <v>#REF!</v>
      </c>
      <c r="O20" s="294">
        <f>SUM(O10:O19)</f>
        <v>58410091528.707123</v>
      </c>
      <c r="P20" s="295" t="e">
        <f>SUM(#REF!)</f>
        <v>#REF!</v>
      </c>
      <c r="Q20" s="294">
        <f>SUM(Q10:Q19)</f>
        <v>323878031023.70715</v>
      </c>
    </row>
    <row r="21" spans="1:17" ht="22.5" thickTop="1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</sheetData>
  <autoFilter ref="A9:Q9" xr:uid="{00000000-0009-0000-0000-00000B000000}"/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A9D6-4C85-4EAC-8EB0-A20717998716}">
  <dimension ref="A1:AH61"/>
  <sheetViews>
    <sheetView rightToLeft="1" view="pageBreakPreview" zoomScale="60" zoomScaleNormal="100" workbookViewId="0">
      <selection activeCell="K57" sqref="K57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378" t="s">
        <v>310</v>
      </c>
      <c r="B1" s="378"/>
      <c r="C1" s="378"/>
      <c r="D1" s="378"/>
      <c r="E1" s="378"/>
      <c r="F1" s="378"/>
      <c r="G1" s="378"/>
      <c r="H1" s="378"/>
      <c r="I1" s="246"/>
      <c r="J1" s="246"/>
      <c r="K1" s="246"/>
      <c r="L1" s="246"/>
      <c r="M1" s="246"/>
      <c r="N1" s="246"/>
      <c r="O1" s="246"/>
      <c r="P1" s="246"/>
      <c r="Q1" s="246"/>
    </row>
    <row r="2" spans="1:17" ht="21">
      <c r="A2" s="378" t="s">
        <v>53</v>
      </c>
      <c r="B2" s="378"/>
      <c r="C2" s="378"/>
      <c r="D2" s="378"/>
      <c r="E2" s="378"/>
      <c r="F2" s="378"/>
      <c r="G2" s="378"/>
      <c r="H2" s="378"/>
      <c r="I2" s="246"/>
      <c r="J2" s="246"/>
      <c r="K2" s="246"/>
      <c r="L2" s="246"/>
      <c r="M2" s="246"/>
      <c r="N2" s="246"/>
      <c r="O2" s="246"/>
      <c r="P2" s="246"/>
      <c r="Q2" s="246"/>
    </row>
    <row r="3" spans="1:17" ht="21">
      <c r="A3" s="378" t="s">
        <v>311</v>
      </c>
      <c r="B3" s="378"/>
      <c r="C3" s="378"/>
      <c r="D3" s="378"/>
      <c r="E3" s="378"/>
      <c r="F3" s="378"/>
      <c r="G3" s="378"/>
      <c r="H3" s="378"/>
      <c r="I3" s="246"/>
      <c r="J3" s="246"/>
      <c r="K3" s="246"/>
      <c r="L3" s="246"/>
      <c r="M3" s="246"/>
      <c r="N3" s="246"/>
      <c r="O3" s="246"/>
      <c r="P3" s="246"/>
      <c r="Q3" s="246"/>
    </row>
    <row r="5" spans="1:17" ht="25.5">
      <c r="A5" s="379" t="s">
        <v>312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</row>
    <row r="7" spans="1:17" ht="30">
      <c r="A7" s="247" t="s">
        <v>313</v>
      </c>
      <c r="B7" s="247" t="s">
        <v>314</v>
      </c>
      <c r="C7" s="247" t="s">
        <v>315</v>
      </c>
      <c r="D7" s="247" t="s">
        <v>316</v>
      </c>
      <c r="E7" s="247" t="s">
        <v>317</v>
      </c>
      <c r="F7" s="248" t="s">
        <v>318</v>
      </c>
      <c r="G7" s="247" t="s">
        <v>319</v>
      </c>
      <c r="H7" s="248" t="s">
        <v>320</v>
      </c>
    </row>
    <row r="8" spans="1:17" ht="17.25">
      <c r="A8" s="375" t="s">
        <v>321</v>
      </c>
      <c r="B8" s="376" t="s">
        <v>322</v>
      </c>
      <c r="C8" s="249" t="s">
        <v>323</v>
      </c>
      <c r="D8" s="249"/>
      <c r="E8" s="249"/>
      <c r="F8" s="249"/>
      <c r="G8" s="249"/>
      <c r="H8" s="249"/>
    </row>
    <row r="9" spans="1:17" ht="17.25">
      <c r="A9" s="375"/>
      <c r="B9" s="376"/>
      <c r="C9" s="249" t="s">
        <v>324</v>
      </c>
      <c r="D9" s="249"/>
      <c r="E9" s="249"/>
      <c r="F9" s="249"/>
      <c r="G9" s="249"/>
      <c r="H9" s="249"/>
    </row>
    <row r="10" spans="1:17" ht="17.25">
      <c r="A10" s="375" t="s">
        <v>321</v>
      </c>
      <c r="B10" s="376" t="s">
        <v>325</v>
      </c>
      <c r="C10" s="249" t="s">
        <v>323</v>
      </c>
      <c r="D10" s="249"/>
      <c r="E10" s="249"/>
      <c r="F10" s="249"/>
      <c r="G10" s="249"/>
      <c r="H10" s="249"/>
    </row>
    <row r="11" spans="1:17" ht="17.25">
      <c r="A11" s="375"/>
      <c r="B11" s="376"/>
      <c r="C11" s="249" t="s">
        <v>326</v>
      </c>
      <c r="D11" s="249"/>
      <c r="E11" s="249"/>
      <c r="F11" s="249"/>
      <c r="G11" s="249"/>
      <c r="H11" s="249"/>
    </row>
    <row r="12" spans="1:17" ht="57">
      <c r="A12" s="251" t="s">
        <v>327</v>
      </c>
      <c r="B12" s="250" t="s">
        <v>328</v>
      </c>
      <c r="C12" s="249" t="s">
        <v>329</v>
      </c>
      <c r="D12" s="249"/>
      <c r="E12" s="249"/>
      <c r="F12" s="249"/>
      <c r="G12" s="249"/>
      <c r="H12" s="249"/>
    </row>
    <row r="13" spans="1:17" ht="17.25">
      <c r="A13" s="375" t="s">
        <v>330</v>
      </c>
      <c r="B13" s="375" t="s">
        <v>330</v>
      </c>
      <c r="C13" s="249" t="s">
        <v>331</v>
      </c>
      <c r="D13" s="249"/>
      <c r="E13" s="249"/>
      <c r="F13" s="249"/>
      <c r="G13" s="249"/>
      <c r="H13" s="249"/>
    </row>
    <row r="14" spans="1:17" ht="17.25">
      <c r="A14" s="375"/>
      <c r="B14" s="375"/>
      <c r="C14" s="249" t="s">
        <v>332</v>
      </c>
      <c r="D14" s="249"/>
      <c r="E14" s="249"/>
      <c r="F14" s="249"/>
      <c r="G14" s="249"/>
      <c r="H14" s="249"/>
    </row>
    <row r="15" spans="1:17" ht="17.25">
      <c r="A15" s="375"/>
      <c r="B15" s="375"/>
      <c r="C15" s="249" t="s">
        <v>333</v>
      </c>
      <c r="D15" s="249"/>
      <c r="E15" s="249"/>
      <c r="F15" s="249"/>
      <c r="G15" s="249"/>
      <c r="H15" s="249"/>
    </row>
    <row r="16" spans="1:17" ht="17.25">
      <c r="A16" s="375"/>
      <c r="B16" s="375"/>
      <c r="C16" s="249" t="s">
        <v>334</v>
      </c>
      <c r="D16" s="249"/>
      <c r="E16" s="249"/>
      <c r="F16" s="249"/>
      <c r="G16" s="249"/>
      <c r="H16" s="249"/>
    </row>
    <row r="18" spans="1:6" ht="17.25">
      <c r="A18" s="377" t="s">
        <v>335</v>
      </c>
      <c r="B18" s="377"/>
      <c r="C18" s="377"/>
      <c r="D18" s="377"/>
      <c r="E18" s="377"/>
      <c r="F18" s="377"/>
    </row>
    <row r="28" spans="1:6">
      <c r="A28" t="s">
        <v>336</v>
      </c>
    </row>
    <row r="61" spans="34:34">
      <c r="AH61" t="s">
        <v>337</v>
      </c>
    </row>
  </sheetData>
  <mergeCells count="11">
    <mergeCell ref="A1:H1"/>
    <mergeCell ref="A2:H2"/>
    <mergeCell ref="A3:H3"/>
    <mergeCell ref="A5:Q5"/>
    <mergeCell ref="A8:A9"/>
    <mergeCell ref="B8:B9"/>
    <mergeCell ref="A10:A11"/>
    <mergeCell ref="B10:B11"/>
    <mergeCell ref="A13:A16"/>
    <mergeCell ref="B13:B16"/>
    <mergeCell ref="A18:F18"/>
  </mergeCells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23</vt:i4>
      </vt:variant>
    </vt:vector>
  </HeadingPairs>
  <TitlesOfParts>
    <vt:vector size="40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اوراق بها</vt:lpstr>
      <vt:lpstr>مبالغ تخصیصی اوراق </vt:lpstr>
      <vt:lpstr>درآمد سپرده بانکی</vt:lpstr>
      <vt:lpstr>سود اوراق بهادار</vt:lpstr>
      <vt:lpstr>سود سپرده بانکی</vt:lpstr>
      <vt:lpstr>مبالغ تخصیصی اورراق </vt:lpstr>
      <vt:lpstr>سایر درآمدها</vt:lpstr>
      <vt:lpstr>درآمد سود سهام</vt:lpstr>
      <vt:lpstr>درآمد ناشی ازفروش</vt:lpstr>
      <vt:lpstr>درآمد ناشی از تغییر قیمت اوراق </vt:lpstr>
      <vt:lpstr>'سود اوراق بهادار'!A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 '!Print_Area</vt:lpstr>
      <vt:lpstr>'مبالغ تخصیصی اورراق 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Sabzi</cp:lastModifiedBy>
  <cp:lastPrinted>2024-06-29T13:13:56Z</cp:lastPrinted>
  <dcterms:created xsi:type="dcterms:W3CDTF">2017-11-22T14:26:20Z</dcterms:created>
  <dcterms:modified xsi:type="dcterms:W3CDTF">2024-08-28T13:07:46Z</dcterms:modified>
</cp:coreProperties>
</file>