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Y:\fund\7 صندوق ندای ثابت کیان\گزارش ماهانه\1403\07\"/>
    </mc:Choice>
  </mc:AlternateContent>
  <xr:revisionPtr revIDLastSave="0" documentId="13_ncr:1_{E921DD3D-9D4C-4F35-8279-8E10BF4AF9FB}" xr6:coauthVersionLast="47" xr6:coauthVersionMax="47" xr10:uidLastSave="{00000000-0000-0000-0000-000000000000}"/>
  <bookViews>
    <workbookView xWindow="-120" yWindow="-120" windowWidth="24240" windowHeight="13140" tabRatio="911" xr2:uid="{00000000-000D-0000-FFFF-FFFF00000000}"/>
  </bookViews>
  <sheets>
    <sheet name="روکش" sheetId="16" r:id="rId1"/>
    <sheet name=" سهام" sheetId="1" r:id="rId2"/>
    <sheet name="اوراق" sheetId="17" r:id="rId3"/>
    <sheet name="تعدیل اوراق" sheetId="19" r:id="rId4"/>
    <sheet name="سپرده" sheetId="2" r:id="rId5"/>
    <sheet name="درآمدها" sheetId="11" r:id="rId6"/>
    <sheet name="درآمد سرمایه گذاری در سهام " sheetId="5" r:id="rId7"/>
    <sheet name="درآمد سرمایه گذاری در اوراق بها" sheetId="6" r:id="rId8"/>
    <sheet name="مبالغ تخصیصی اوراق " sheetId="20" state="hidden" r:id="rId9"/>
    <sheet name="درآمد سپرده بانکی" sheetId="7" r:id="rId10"/>
    <sheet name="سود اوراق بهادار" sheetId="21" r:id="rId11"/>
    <sheet name="سود سپرده بانکی" sheetId="13" r:id="rId12"/>
    <sheet name="مبالغ تخصیصی اورراق " sheetId="22" r:id="rId13"/>
    <sheet name="سایر درآمدها" sheetId="8" r:id="rId14"/>
    <sheet name="درآمد سود سهام" sheetId="18" r:id="rId15"/>
    <sheet name="درآمد ناشی ازفروش" sheetId="15" r:id="rId16"/>
    <sheet name="درآمد ناشی از تغییر قیمت اوراق " sheetId="14" r:id="rId17"/>
  </sheets>
  <definedNames>
    <definedName name="_xlnm._FilterDatabase" localSheetId="1" hidden="1">' سهام'!$A$9:$W$9</definedName>
    <definedName name="_xlnm._FilterDatabase" localSheetId="9" hidden="1">'درآمد سپرده بانکی'!$A$7:$L$122</definedName>
    <definedName name="_xlnm._FilterDatabase" localSheetId="7" hidden="1">'درآمد سرمایه گذاری در اوراق بها'!$A$9:$Q$9</definedName>
    <definedName name="_xlnm._FilterDatabase" localSheetId="6" hidden="1">'درآمد سرمایه گذاری در سهام '!$A$10:$U$10</definedName>
    <definedName name="_xlnm._FilterDatabase" localSheetId="14" hidden="1">'درآمد سود سهام'!$A$7:$S$7</definedName>
    <definedName name="_xlnm._FilterDatabase" localSheetId="16" hidden="1">'درآمد ناشی از تغییر قیمت اوراق '!$A$6:$Q$6</definedName>
    <definedName name="_xlnm._FilterDatabase" localSheetId="15" hidden="1">'درآمد ناشی ازفروش'!$A$6:$Q$6</definedName>
    <definedName name="_xlnm._FilterDatabase" localSheetId="4" hidden="1">سپرده!$A$8:$K$36</definedName>
    <definedName name="_xlnm._FilterDatabase" localSheetId="10" hidden="1">'سود اوراق بهادار'!$A$6:$Q$12</definedName>
    <definedName name="_xlnm._FilterDatabase" localSheetId="11" hidden="1">'سود سپرده بانکی'!$A$6:$N$121</definedName>
    <definedName name="A" localSheetId="10">'سود اوراق بهادار'!$A$7:$Q$13</definedName>
    <definedName name="A">'سود سپرده بانکی'!$A$8:$N$121</definedName>
    <definedName name="_xlnm.Print_Area" localSheetId="1">' سهام'!$A$1:$W$12</definedName>
    <definedName name="_xlnm.Print_Area" localSheetId="2">اوراق!$A$1:$AG$15</definedName>
    <definedName name="_xlnm.Print_Area" localSheetId="3">'تعدیل اوراق'!$A$1:$M$11</definedName>
    <definedName name="_xlnm.Print_Area" localSheetId="9">'درآمد سپرده بانکی'!$A$1:$L$122</definedName>
    <definedName name="_xlnm.Print_Area" localSheetId="7">'درآمد سرمایه گذاری در اوراق بها'!$A$1:$Q$21</definedName>
    <definedName name="_xlnm.Print_Area" localSheetId="6">'درآمد سرمایه گذاری در سهام '!$A$1:$U$13</definedName>
    <definedName name="_xlnm.Print_Area" localSheetId="14">'درآمد سود سهام'!$A$1:$S$11</definedName>
    <definedName name="_xlnm.Print_Area" localSheetId="16">'درآمد ناشی از تغییر قیمت اوراق '!$A$1:$Q$14</definedName>
    <definedName name="_xlnm.Print_Area" localSheetId="15">'درآمد ناشی ازفروش'!$A$1:$Q$18</definedName>
    <definedName name="_xlnm.Print_Area" localSheetId="5">درآمدها!$A$1:$I$11</definedName>
    <definedName name="_xlnm.Print_Area" localSheetId="0">روکش!$A$1:$I$36</definedName>
    <definedName name="_xlnm.Print_Area" localSheetId="13">'سایر درآمدها'!$A$1:$E$10</definedName>
    <definedName name="_xlnm.Print_Area" localSheetId="4">سپرده!$A$1:$K$37</definedName>
    <definedName name="_xlnm.Print_Area" localSheetId="10">'سود اوراق بهادار'!$A$1:$Q$14</definedName>
    <definedName name="_xlnm.Print_Area" localSheetId="11">'سود سپرده بانکی'!$A$1:$N$121</definedName>
    <definedName name="_xlnm.Print_Area" localSheetId="8">'مبالغ تخصیصی اوراق '!$A$1:$I$18</definedName>
    <definedName name="_xlnm.Print_Area" localSheetId="12">'مبالغ تخصیصی اورراق '!$A$1:$H$9</definedName>
    <definedName name="_xlnm.Print_Titles" localSheetId="1">' سهام'!$7:$9</definedName>
    <definedName name="_xlnm.Print_Titles" localSheetId="6">'درآمد سرمایه گذاری در سهام '!$7:$10</definedName>
    <definedName name="_xlnm.Print_Titles" localSheetId="16">'درآمد ناشی از تغییر قیمت اوراق '!$5:$6</definedName>
    <definedName name="_xlnm.Print_Titles" localSheetId="15">'درآمد ناشی ازفروش'!$5:$6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19" l="1"/>
  <c r="K9" i="19"/>
  <c r="I10" i="19"/>
  <c r="I9" i="19"/>
  <c r="O12" i="14"/>
  <c r="M12" i="14"/>
  <c r="G12" i="14"/>
  <c r="E12" i="14"/>
  <c r="Q8" i="14"/>
  <c r="Q9" i="14"/>
  <c r="Q10" i="14"/>
  <c r="Q11" i="14"/>
  <c r="Q7" i="14"/>
  <c r="I8" i="14"/>
  <c r="I9" i="14"/>
  <c r="I10" i="14"/>
  <c r="I11" i="14"/>
  <c r="I7" i="14"/>
  <c r="Q8" i="15"/>
  <c r="Q9" i="15"/>
  <c r="Q10" i="15"/>
  <c r="Q11" i="15"/>
  <c r="Q12" i="15"/>
  <c r="Q13" i="15"/>
  <c r="Q14" i="15"/>
  <c r="Q15" i="15"/>
  <c r="Q7" i="15"/>
  <c r="O16" i="15"/>
  <c r="M16" i="15"/>
  <c r="G16" i="15"/>
  <c r="E9" i="8"/>
  <c r="E10" i="11" s="1"/>
  <c r="C9" i="8"/>
  <c r="L121" i="13"/>
  <c r="F121" i="13"/>
  <c r="N8" i="13"/>
  <c r="N9" i="13"/>
  <c r="N10" i="13"/>
  <c r="N11" i="13"/>
  <c r="N12" i="13"/>
  <c r="N13" i="13"/>
  <c r="N14" i="13"/>
  <c r="N15" i="13"/>
  <c r="N16" i="13"/>
  <c r="N17" i="13"/>
  <c r="N18" i="13"/>
  <c r="N19" i="13"/>
  <c r="N20" i="13"/>
  <c r="N21" i="13"/>
  <c r="N22" i="13"/>
  <c r="N23" i="13"/>
  <c r="N24" i="13"/>
  <c r="N25" i="13"/>
  <c r="N26" i="13"/>
  <c r="N27" i="13"/>
  <c r="N28" i="13"/>
  <c r="N29" i="13"/>
  <c r="N30" i="13"/>
  <c r="N31" i="13"/>
  <c r="N32" i="13"/>
  <c r="N33" i="13"/>
  <c r="N34" i="13"/>
  <c r="N35" i="13"/>
  <c r="N36" i="13"/>
  <c r="N37" i="13"/>
  <c r="N38" i="13"/>
  <c r="N39" i="13"/>
  <c r="N40" i="13"/>
  <c r="N41" i="13"/>
  <c r="N42" i="13"/>
  <c r="N43" i="13"/>
  <c r="N44" i="13"/>
  <c r="N45" i="13"/>
  <c r="N46" i="13"/>
  <c r="N47" i="13"/>
  <c r="N48" i="13"/>
  <c r="N49" i="13"/>
  <c r="N50" i="13"/>
  <c r="N51" i="13"/>
  <c r="N52" i="13"/>
  <c r="N53" i="13"/>
  <c r="N54" i="13"/>
  <c r="N55" i="13"/>
  <c r="N56" i="13"/>
  <c r="N57" i="13"/>
  <c r="N58" i="13"/>
  <c r="N59" i="13"/>
  <c r="N60" i="13"/>
  <c r="N61" i="13"/>
  <c r="N62" i="13"/>
  <c r="N63" i="13"/>
  <c r="N64" i="13"/>
  <c r="N65" i="13"/>
  <c r="N66" i="13"/>
  <c r="N68" i="13"/>
  <c r="N69" i="13"/>
  <c r="N71" i="13"/>
  <c r="N72" i="13"/>
  <c r="N73" i="13"/>
  <c r="N74" i="13"/>
  <c r="N75" i="13"/>
  <c r="N76" i="13"/>
  <c r="N77" i="13"/>
  <c r="N78" i="13"/>
  <c r="N79" i="13"/>
  <c r="N80" i="13"/>
  <c r="N81" i="13"/>
  <c r="N82" i="13"/>
  <c r="N83" i="13"/>
  <c r="N84" i="13"/>
  <c r="N85" i="13"/>
  <c r="N86" i="13"/>
  <c r="N87" i="13"/>
  <c r="N88" i="13"/>
  <c r="N89" i="13"/>
  <c r="N90" i="13"/>
  <c r="N91" i="13"/>
  <c r="N92" i="13"/>
  <c r="N93" i="13"/>
  <c r="N94" i="13"/>
  <c r="N95" i="13"/>
  <c r="N97" i="13"/>
  <c r="N98" i="13"/>
  <c r="N99" i="13"/>
  <c r="N100" i="13"/>
  <c r="N101" i="13"/>
  <c r="N102" i="13"/>
  <c r="N103" i="13"/>
  <c r="N104" i="13"/>
  <c r="N106" i="13"/>
  <c r="N107" i="13"/>
  <c r="N108" i="13"/>
  <c r="N109" i="13"/>
  <c r="N110" i="13"/>
  <c r="N111" i="13"/>
  <c r="N112" i="13"/>
  <c r="N113" i="13"/>
  <c r="N114" i="13"/>
  <c r="N115" i="13"/>
  <c r="N116" i="13"/>
  <c r="N117" i="13"/>
  <c r="N119" i="13"/>
  <c r="N7" i="13"/>
  <c r="H8" i="13"/>
  <c r="H9" i="13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40" i="13"/>
  <c r="H41" i="13"/>
  <c r="H42" i="13"/>
  <c r="H43" i="13"/>
  <c r="H44" i="13"/>
  <c r="H45" i="13"/>
  <c r="H46" i="13"/>
  <c r="H47" i="13"/>
  <c r="H48" i="13"/>
  <c r="H49" i="13"/>
  <c r="H50" i="13"/>
  <c r="H51" i="13"/>
  <c r="H52" i="13"/>
  <c r="H53" i="13"/>
  <c r="H54" i="13"/>
  <c r="H55" i="13"/>
  <c r="H56" i="13"/>
  <c r="H57" i="13"/>
  <c r="H58" i="13"/>
  <c r="H59" i="13"/>
  <c r="H60" i="13"/>
  <c r="H61" i="13"/>
  <c r="H62" i="13"/>
  <c r="H63" i="13"/>
  <c r="H64" i="13"/>
  <c r="H65" i="13"/>
  <c r="H66" i="13"/>
  <c r="H67" i="13"/>
  <c r="H68" i="13"/>
  <c r="H69" i="13"/>
  <c r="H70" i="13"/>
  <c r="H71" i="13"/>
  <c r="H72" i="13"/>
  <c r="H73" i="13"/>
  <c r="H74" i="13"/>
  <c r="H75" i="13"/>
  <c r="H76" i="13"/>
  <c r="H77" i="13"/>
  <c r="H78" i="13"/>
  <c r="H79" i="13"/>
  <c r="H80" i="13"/>
  <c r="H81" i="13"/>
  <c r="H82" i="13"/>
  <c r="H83" i="13"/>
  <c r="H84" i="13"/>
  <c r="H85" i="13"/>
  <c r="H86" i="13"/>
  <c r="H87" i="13"/>
  <c r="H88" i="13"/>
  <c r="H89" i="13"/>
  <c r="H90" i="13"/>
  <c r="H91" i="13"/>
  <c r="H92" i="13"/>
  <c r="H93" i="13"/>
  <c r="H94" i="13"/>
  <c r="H95" i="13"/>
  <c r="H97" i="13"/>
  <c r="H98" i="13"/>
  <c r="H99" i="13"/>
  <c r="H100" i="13"/>
  <c r="H101" i="13"/>
  <c r="H102" i="13"/>
  <c r="H103" i="13"/>
  <c r="H104" i="13"/>
  <c r="H106" i="13"/>
  <c r="H107" i="13"/>
  <c r="H108" i="13"/>
  <c r="H109" i="13"/>
  <c r="H110" i="13"/>
  <c r="H111" i="13"/>
  <c r="H112" i="13"/>
  <c r="H113" i="13"/>
  <c r="H114" i="13"/>
  <c r="H115" i="13"/>
  <c r="H116" i="13"/>
  <c r="H117" i="13"/>
  <c r="H118" i="13"/>
  <c r="H119" i="13"/>
  <c r="H120" i="13"/>
  <c r="H7" i="13"/>
  <c r="O13" i="21"/>
  <c r="M13" i="21"/>
  <c r="I13" i="21"/>
  <c r="G13" i="21"/>
  <c r="Q8" i="21"/>
  <c r="Q9" i="21"/>
  <c r="Q10" i="21"/>
  <c r="Q11" i="21"/>
  <c r="Q12" i="21"/>
  <c r="Q7" i="21"/>
  <c r="Q13" i="21" s="1"/>
  <c r="K8" i="21"/>
  <c r="K9" i="21"/>
  <c r="K10" i="21"/>
  <c r="K11" i="21"/>
  <c r="K12" i="21"/>
  <c r="K7" i="21"/>
  <c r="K13" i="21" s="1"/>
  <c r="I7" i="11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9" i="2"/>
  <c r="K36" i="2"/>
  <c r="I36" i="2"/>
  <c r="G36" i="2"/>
  <c r="E36" i="2"/>
  <c r="C36" i="2"/>
  <c r="AH10" i="17"/>
  <c r="AH11" i="17"/>
  <c r="AH12" i="17"/>
  <c r="AH13" i="17"/>
  <c r="AH9" i="17"/>
  <c r="AG10" i="17"/>
  <c r="AG11" i="17"/>
  <c r="AG12" i="17"/>
  <c r="AG13" i="17"/>
  <c r="AG9" i="17"/>
  <c r="AE14" i="17"/>
  <c r="AC14" i="17"/>
  <c r="W14" i="17"/>
  <c r="T14" i="17"/>
  <c r="Q14" i="17"/>
  <c r="O14" i="17"/>
  <c r="I12" i="14" l="1"/>
  <c r="Q12" i="14"/>
  <c r="Q16" i="15"/>
  <c r="AG14" i="1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8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I95" i="7"/>
  <c r="I96" i="7"/>
  <c r="I97" i="7"/>
  <c r="I98" i="7"/>
  <c r="I99" i="7"/>
  <c r="I100" i="7"/>
  <c r="I101" i="7"/>
  <c r="I102" i="7"/>
  <c r="I103" i="7"/>
  <c r="I104" i="7"/>
  <c r="I105" i="7"/>
  <c r="I106" i="7"/>
  <c r="I107" i="7"/>
  <c r="I108" i="7"/>
  <c r="I109" i="7"/>
  <c r="I110" i="7"/>
  <c r="I111" i="7"/>
  <c r="I112" i="7"/>
  <c r="I113" i="7"/>
  <c r="I114" i="7"/>
  <c r="I115" i="7"/>
  <c r="I116" i="7"/>
  <c r="I117" i="7"/>
  <c r="I118" i="7"/>
  <c r="I119" i="7"/>
  <c r="I121" i="7"/>
  <c r="E8" i="22" l="1"/>
  <c r="D8" i="22"/>
  <c r="J120" i="13"/>
  <c r="N120" i="13" s="1"/>
  <c r="I37" i="7" s="1"/>
  <c r="J118" i="13"/>
  <c r="N118" i="13" s="1"/>
  <c r="I58" i="7" s="1"/>
  <c r="J67" i="13"/>
  <c r="J105" i="13"/>
  <c r="N105" i="13" s="1"/>
  <c r="I9" i="7" s="1"/>
  <c r="J96" i="13"/>
  <c r="N96" i="13" s="1"/>
  <c r="I39" i="7" s="1"/>
  <c r="J70" i="13"/>
  <c r="N70" i="13" s="1"/>
  <c r="I10" i="7" s="1"/>
  <c r="J121" i="13" l="1"/>
  <c r="N67" i="13"/>
  <c r="N121" i="13" l="1"/>
  <c r="E9" i="11" s="1"/>
  <c r="I120" i="7"/>
  <c r="D96" i="13"/>
  <c r="D105" i="13"/>
  <c r="H105" i="13" s="1"/>
  <c r="D121" i="13" l="1"/>
  <c r="H96" i="13"/>
  <c r="H121" i="13" s="1"/>
  <c r="O14" i="6"/>
  <c r="M19" i="6"/>
  <c r="M18" i="6"/>
  <c r="M17" i="6"/>
  <c r="M16" i="6"/>
  <c r="M15" i="6"/>
  <c r="M13" i="6"/>
  <c r="M12" i="6"/>
  <c r="M11" i="6"/>
  <c r="M14" i="6"/>
  <c r="G14" i="6"/>
  <c r="E19" i="6"/>
  <c r="E18" i="6"/>
  <c r="E17" i="6"/>
  <c r="E16" i="6"/>
  <c r="E15" i="6"/>
  <c r="E14" i="6"/>
  <c r="E13" i="6"/>
  <c r="E12" i="6"/>
  <c r="E11" i="6"/>
  <c r="E10" i="6"/>
  <c r="C19" i="6"/>
  <c r="C18" i="6"/>
  <c r="C17" i="6"/>
  <c r="C16" i="6"/>
  <c r="C14" i="6"/>
  <c r="C13" i="6"/>
  <c r="C12" i="6"/>
  <c r="C11" i="6"/>
  <c r="C10" i="6"/>
  <c r="C15" i="6"/>
  <c r="K10" i="6"/>
  <c r="E20" i="6" l="1"/>
  <c r="I14" i="6"/>
  <c r="C20" i="6"/>
  <c r="K14" i="6" l="1"/>
  <c r="Q14" i="6" s="1"/>
  <c r="K12" i="6"/>
  <c r="K11" i="6"/>
  <c r="A3" i="6" l="1"/>
  <c r="E12" i="15"/>
  <c r="G19" i="6" l="1"/>
  <c r="I19" i="6" s="1"/>
  <c r="I12" i="15"/>
  <c r="E13" i="15"/>
  <c r="E14" i="15"/>
  <c r="E15" i="15"/>
  <c r="E8" i="15"/>
  <c r="E9" i="15"/>
  <c r="E10" i="15"/>
  <c r="E11" i="15"/>
  <c r="E7" i="15"/>
  <c r="G11" i="6" l="1"/>
  <c r="I11" i="6" s="1"/>
  <c r="I14" i="15"/>
  <c r="I13" i="15"/>
  <c r="G10" i="6" s="1"/>
  <c r="G13" i="6"/>
  <c r="I13" i="6" s="1"/>
  <c r="I7" i="15"/>
  <c r="E16" i="15"/>
  <c r="I8" i="15"/>
  <c r="G15" i="6" s="1"/>
  <c r="I15" i="6" s="1"/>
  <c r="I10" i="15"/>
  <c r="G18" i="6" s="1"/>
  <c r="I18" i="6" s="1"/>
  <c r="I9" i="15"/>
  <c r="G16" i="6" s="1"/>
  <c r="I16" i="6" s="1"/>
  <c r="I11" i="15"/>
  <c r="G17" i="6" s="1"/>
  <c r="I17" i="6" s="1"/>
  <c r="I15" i="15"/>
  <c r="G12" i="6" s="1"/>
  <c r="I12" i="6" s="1"/>
  <c r="M10" i="6"/>
  <c r="M20" i="6" s="1"/>
  <c r="E109" i="7"/>
  <c r="E121" i="7"/>
  <c r="E111" i="7"/>
  <c r="E114" i="7"/>
  <c r="E106" i="7"/>
  <c r="E108" i="7"/>
  <c r="E84" i="7"/>
  <c r="E81" i="7"/>
  <c r="E107" i="7"/>
  <c r="E45" i="7"/>
  <c r="E8" i="7"/>
  <c r="E59" i="7"/>
  <c r="E35" i="7"/>
  <c r="E10" i="7"/>
  <c r="E120" i="7"/>
  <c r="E38" i="7"/>
  <c r="E16" i="7"/>
  <c r="E94" i="7"/>
  <c r="E86" i="7"/>
  <c r="E79" i="7"/>
  <c r="E30" i="7"/>
  <c r="E69" i="7"/>
  <c r="E23" i="7"/>
  <c r="E53" i="7"/>
  <c r="E34" i="7"/>
  <c r="E97" i="7"/>
  <c r="E95" i="7"/>
  <c r="E41" i="7"/>
  <c r="E28" i="7"/>
  <c r="E46" i="7"/>
  <c r="E85" i="7"/>
  <c r="E80" i="7"/>
  <c r="E71" i="7"/>
  <c r="E33" i="7"/>
  <c r="E90" i="7"/>
  <c r="E50" i="7"/>
  <c r="E51" i="7"/>
  <c r="E21" i="7"/>
  <c r="E99" i="7"/>
  <c r="E9" i="7"/>
  <c r="E101" i="7"/>
  <c r="E89" i="7"/>
  <c r="E83" i="7"/>
  <c r="E64" i="7"/>
  <c r="E56" i="7"/>
  <c r="E48" i="7"/>
  <c r="E42" i="7"/>
  <c r="E112" i="7"/>
  <c r="E119" i="7"/>
  <c r="E70" i="7"/>
  <c r="E66" i="7"/>
  <c r="E62" i="7"/>
  <c r="E29" i="7"/>
  <c r="E39" i="7"/>
  <c r="E31" i="7"/>
  <c r="E60" i="7"/>
  <c r="E26" i="7"/>
  <c r="E47" i="7"/>
  <c r="E32" i="7"/>
  <c r="E27" i="7"/>
  <c r="E15" i="7"/>
  <c r="E102" i="7"/>
  <c r="E87" i="7"/>
  <c r="E78" i="7"/>
  <c r="E52" i="7"/>
  <c r="E61" i="7"/>
  <c r="E18" i="7"/>
  <c r="E100" i="7"/>
  <c r="E113" i="7"/>
  <c r="E103" i="7"/>
  <c r="E118" i="7"/>
  <c r="E91" i="7"/>
  <c r="E116" i="7"/>
  <c r="E77" i="7"/>
  <c r="E72" i="7"/>
  <c r="E115" i="7"/>
  <c r="E63" i="7"/>
  <c r="E37" i="7"/>
  <c r="E54" i="7"/>
  <c r="K15" i="6"/>
  <c r="K18" i="6"/>
  <c r="K16" i="6"/>
  <c r="K17" i="6"/>
  <c r="K13" i="6"/>
  <c r="K19" i="6"/>
  <c r="E36" i="7"/>
  <c r="E14" i="7"/>
  <c r="E17" i="7"/>
  <c r="E20" i="7"/>
  <c r="E22" i="7"/>
  <c r="E40" i="7"/>
  <c r="E24" i="7"/>
  <c r="E25" i="7"/>
  <c r="E49" i="7"/>
  <c r="E55" i="7"/>
  <c r="E57" i="7"/>
  <c r="E58" i="7"/>
  <c r="E65" i="7"/>
  <c r="E67" i="7"/>
  <c r="E44" i="7"/>
  <c r="E68" i="7"/>
  <c r="E73" i="7"/>
  <c r="E74" i="7"/>
  <c r="E75" i="7"/>
  <c r="E76" i="7"/>
  <c r="E82" i="7"/>
  <c r="E88" i="7"/>
  <c r="E117" i="7"/>
  <c r="E92" i="7"/>
  <c r="E11" i="7"/>
  <c r="E12" i="7"/>
  <c r="E93" i="7"/>
  <c r="E96" i="7"/>
  <c r="E98" i="7"/>
  <c r="E104" i="7"/>
  <c r="E105" i="7"/>
  <c r="I10" i="11"/>
  <c r="V16" i="15"/>
  <c r="V8" i="15"/>
  <c r="V10" i="15"/>
  <c r="V11" i="15"/>
  <c r="V12" i="15"/>
  <c r="V13" i="15"/>
  <c r="V14" i="15"/>
  <c r="V15" i="15"/>
  <c r="V9" i="15"/>
  <c r="U17" i="15"/>
  <c r="T17" i="15"/>
  <c r="S17" i="15"/>
  <c r="O18" i="6"/>
  <c r="I10" i="6" l="1"/>
  <c r="I20" i="6" s="1"/>
  <c r="G20" i="6"/>
  <c r="I16" i="15"/>
  <c r="Q18" i="6"/>
  <c r="K20" i="6"/>
  <c r="Y10" i="15"/>
  <c r="I8" i="7"/>
  <c r="E110" i="7"/>
  <c r="E19" i="7"/>
  <c r="E13" i="7"/>
  <c r="E43" i="7"/>
  <c r="V17" i="15"/>
  <c r="O15" i="6"/>
  <c r="Q15" i="6" s="1"/>
  <c r="O16" i="6"/>
  <c r="Q16" i="6" s="1"/>
  <c r="O17" i="6"/>
  <c r="Q17" i="6" s="1"/>
  <c r="O19" i="6"/>
  <c r="Q19" i="6" s="1"/>
  <c r="O10" i="6"/>
  <c r="O11" i="6"/>
  <c r="Q11" i="6" s="1"/>
  <c r="O12" i="6"/>
  <c r="Q12" i="6" s="1"/>
  <c r="Q10" i="6" l="1"/>
  <c r="E122" i="7"/>
  <c r="G106" i="7" s="1"/>
  <c r="I122" i="7"/>
  <c r="K8" i="7" s="1"/>
  <c r="Y15" i="15"/>
  <c r="Y11" i="15"/>
  <c r="Y9" i="15"/>
  <c r="Y13" i="15"/>
  <c r="Y8" i="15"/>
  <c r="Y12" i="15"/>
  <c r="Y14" i="15"/>
  <c r="G43" i="7" l="1"/>
  <c r="G86" i="7"/>
  <c r="G111" i="7"/>
  <c r="G8" i="7"/>
  <c r="G34" i="7"/>
  <c r="G17" i="7"/>
  <c r="G51" i="7"/>
  <c r="G92" i="7"/>
  <c r="G110" i="7"/>
  <c r="G94" i="7"/>
  <c r="G80" i="7"/>
  <c r="G114" i="7"/>
  <c r="G53" i="7"/>
  <c r="G21" i="7"/>
  <c r="G120" i="7"/>
  <c r="G23" i="7"/>
  <c r="G40" i="7"/>
  <c r="G13" i="7"/>
  <c r="G57" i="7"/>
  <c r="G105" i="7"/>
  <c r="G115" i="7"/>
  <c r="G73" i="7"/>
  <c r="G76" i="7"/>
  <c r="G16" i="7"/>
  <c r="G84" i="7"/>
  <c r="G103" i="7"/>
  <c r="G58" i="7"/>
  <c r="G72" i="7"/>
  <c r="G63" i="7"/>
  <c r="G121" i="7"/>
  <c r="G85" i="7"/>
  <c r="G30" i="7"/>
  <c r="G28" i="7"/>
  <c r="G14" i="7"/>
  <c r="G46" i="7"/>
  <c r="G64" i="7"/>
  <c r="G38" i="7"/>
  <c r="G50" i="7"/>
  <c r="G70" i="7"/>
  <c r="G69" i="7"/>
  <c r="G108" i="7"/>
  <c r="G79" i="7"/>
  <c r="G44" i="7"/>
  <c r="G22" i="7"/>
  <c r="G104" i="7"/>
  <c r="G118" i="7"/>
  <c r="G45" i="7"/>
  <c r="G61" i="7"/>
  <c r="G36" i="7"/>
  <c r="G62" i="7"/>
  <c r="G91" i="7"/>
  <c r="G24" i="7"/>
  <c r="G47" i="7"/>
  <c r="G89" i="7"/>
  <c r="G60" i="7"/>
  <c r="G96" i="7"/>
  <c r="G35" i="7"/>
  <c r="G113" i="7"/>
  <c r="G11" i="7"/>
  <c r="G107" i="7"/>
  <c r="G42" i="7"/>
  <c r="G18" i="7"/>
  <c r="G66" i="7"/>
  <c r="G29" i="7"/>
  <c r="G116" i="7"/>
  <c r="G26" i="7"/>
  <c r="G32" i="7"/>
  <c r="G83" i="7"/>
  <c r="G95" i="7"/>
  <c r="G88" i="7"/>
  <c r="G75" i="7"/>
  <c r="G31" i="7"/>
  <c r="G99" i="7"/>
  <c r="G101" i="7"/>
  <c r="G15" i="7"/>
  <c r="G56" i="7"/>
  <c r="G20" i="7"/>
  <c r="G81" i="7"/>
  <c r="G25" i="7"/>
  <c r="G55" i="7"/>
  <c r="G10" i="7"/>
  <c r="G67" i="7"/>
  <c r="G68" i="7"/>
  <c r="G54" i="7"/>
  <c r="G87" i="7"/>
  <c r="G52" i="7"/>
  <c r="G119" i="7"/>
  <c r="G71" i="7"/>
  <c r="G90" i="7"/>
  <c r="G41" i="7"/>
  <c r="G59" i="7"/>
  <c r="G97" i="7"/>
  <c r="G74" i="7"/>
  <c r="G98" i="7"/>
  <c r="G19" i="7"/>
  <c r="G39" i="7"/>
  <c r="G100" i="7"/>
  <c r="G9" i="7"/>
  <c r="G27" i="7"/>
  <c r="G77" i="7"/>
  <c r="G48" i="7"/>
  <c r="G117" i="7"/>
  <c r="G12" i="7"/>
  <c r="G49" i="7"/>
  <c r="G109" i="7"/>
  <c r="G82" i="7"/>
  <c r="G93" i="7"/>
  <c r="G37" i="7"/>
  <c r="G65" i="7"/>
  <c r="G78" i="7"/>
  <c r="G112" i="7"/>
  <c r="G102" i="7"/>
  <c r="G33" i="7"/>
  <c r="K118" i="7"/>
  <c r="K104" i="7"/>
  <c r="K66" i="7"/>
  <c r="K100" i="7"/>
  <c r="K64" i="7"/>
  <c r="K28" i="7"/>
  <c r="K105" i="7"/>
  <c r="K69" i="7"/>
  <c r="K33" i="7"/>
  <c r="K119" i="7"/>
  <c r="K98" i="7"/>
  <c r="K62" i="7"/>
  <c r="K26" i="7"/>
  <c r="K85" i="7"/>
  <c r="K49" i="7"/>
  <c r="K13" i="7"/>
  <c r="K96" i="7"/>
  <c r="K60" i="7"/>
  <c r="K24" i="7"/>
  <c r="K101" i="7"/>
  <c r="K65" i="7"/>
  <c r="K29" i="7"/>
  <c r="K58" i="7"/>
  <c r="K92" i="7"/>
  <c r="K20" i="7"/>
  <c r="K43" i="7"/>
  <c r="K90" i="7"/>
  <c r="K18" i="7"/>
  <c r="K59" i="7"/>
  <c r="K38" i="7"/>
  <c r="K72" i="7"/>
  <c r="K70" i="7"/>
  <c r="K55" i="7"/>
  <c r="K71" i="7"/>
  <c r="K94" i="7"/>
  <c r="K22" i="7"/>
  <c r="K99" i="7"/>
  <c r="K63" i="7"/>
  <c r="K27" i="7"/>
  <c r="K112" i="7"/>
  <c r="K56" i="7"/>
  <c r="K79" i="7"/>
  <c r="K109" i="7"/>
  <c r="K54" i="7"/>
  <c r="K95" i="7"/>
  <c r="K23" i="7"/>
  <c r="K25" i="7"/>
  <c r="K41" i="7"/>
  <c r="K39" i="7"/>
  <c r="K68" i="7"/>
  <c r="K102" i="7"/>
  <c r="K88" i="7"/>
  <c r="K52" i="7"/>
  <c r="K16" i="7"/>
  <c r="K93" i="7"/>
  <c r="K57" i="7"/>
  <c r="K21" i="7"/>
  <c r="K106" i="7"/>
  <c r="K86" i="7"/>
  <c r="K50" i="7"/>
  <c r="K14" i="7"/>
  <c r="K73" i="7"/>
  <c r="K37" i="7"/>
  <c r="K120" i="7"/>
  <c r="K84" i="7"/>
  <c r="K48" i="7"/>
  <c r="K12" i="7"/>
  <c r="K89" i="7"/>
  <c r="K53" i="7"/>
  <c r="K17" i="7"/>
  <c r="K103" i="7"/>
  <c r="K31" i="7"/>
  <c r="K78" i="7"/>
  <c r="K115" i="7"/>
  <c r="K47" i="7"/>
  <c r="K74" i="7"/>
  <c r="K113" i="7"/>
  <c r="K34" i="7"/>
  <c r="K121" i="7"/>
  <c r="K91" i="7"/>
  <c r="K107" i="7"/>
  <c r="K82" i="7"/>
  <c r="K46" i="7"/>
  <c r="K10" i="7"/>
  <c r="K87" i="7"/>
  <c r="K51" i="7"/>
  <c r="K15" i="7"/>
  <c r="K116" i="7"/>
  <c r="K80" i="7"/>
  <c r="K44" i="7"/>
  <c r="K67" i="7"/>
  <c r="K114" i="7"/>
  <c r="K42" i="7"/>
  <c r="K83" i="7"/>
  <c r="K11" i="7"/>
  <c r="K61" i="7"/>
  <c r="K77" i="7"/>
  <c r="K111" i="7"/>
  <c r="K19" i="7"/>
  <c r="K35" i="7"/>
  <c r="K76" i="7"/>
  <c r="K40" i="7"/>
  <c r="K117" i="7"/>
  <c r="K81" i="7"/>
  <c r="K45" i="7"/>
  <c r="K9" i="7"/>
  <c r="K110" i="7"/>
  <c r="K97" i="7"/>
  <c r="K108" i="7"/>
  <c r="K36" i="7"/>
  <c r="K75" i="7"/>
  <c r="K32" i="7"/>
  <c r="K30" i="7"/>
  <c r="O13" i="6"/>
  <c r="G122" i="7" l="1"/>
  <c r="Q13" i="6"/>
  <c r="Q20" i="6" s="1"/>
  <c r="E8" i="11" s="1"/>
  <c r="O20" i="6"/>
  <c r="K122" i="7"/>
  <c r="Y7" i="15"/>
  <c r="I9" i="11" l="1"/>
  <c r="G121" i="13" l="1"/>
  <c r="E121" i="13"/>
  <c r="A3" i="8" l="1"/>
  <c r="D36" i="2" l="1"/>
  <c r="F36" i="2"/>
  <c r="H36" i="2"/>
  <c r="J36" i="2"/>
  <c r="J13" i="21" l="1"/>
  <c r="F13" i="21"/>
  <c r="A3" i="21"/>
  <c r="A3" i="13" l="1"/>
  <c r="C121" i="13" l="1"/>
  <c r="E11" i="11" l="1"/>
  <c r="G8" i="11" s="1"/>
  <c r="I8" i="11"/>
  <c r="I11" i="11" s="1"/>
  <c r="I45" i="13"/>
  <c r="I121" i="13" s="1"/>
  <c r="G9" i="11" l="1"/>
  <c r="G10" i="11"/>
  <c r="G7" i="11"/>
  <c r="C12" i="5"/>
  <c r="I11" i="5"/>
  <c r="I12" i="5" s="1"/>
  <c r="S11" i="5"/>
  <c r="S12" i="5" s="1"/>
  <c r="E12" i="5"/>
  <c r="M12" i="5"/>
  <c r="O12" i="5"/>
  <c r="G11" i="11" l="1"/>
  <c r="A3" i="19"/>
  <c r="A3" i="17"/>
  <c r="W10" i="1" l="1"/>
  <c r="Q9" i="18" l="1"/>
  <c r="S8" i="18"/>
  <c r="M8" i="18"/>
  <c r="M9" i="18" l="1"/>
  <c r="K9" i="18"/>
  <c r="I9" i="18"/>
  <c r="O9" i="18"/>
  <c r="S9" i="18"/>
  <c r="W11" i="1" l="1"/>
  <c r="U11" i="1"/>
  <c r="S11" i="1"/>
  <c r="M11" i="1"/>
  <c r="J11" i="1"/>
  <c r="G11" i="1"/>
  <c r="E11" i="1"/>
  <c r="D11" i="1"/>
  <c r="G12" i="5"/>
  <c r="Q12" i="5"/>
  <c r="U12" i="5" l="1"/>
  <c r="K12" i="5" l="1"/>
  <c r="J9" i="18" l="1"/>
  <c r="L9" i="18"/>
  <c r="N9" i="18"/>
  <c r="R9" i="18"/>
  <c r="D20" i="6" l="1"/>
  <c r="F20" i="6"/>
  <c r="H20" i="6"/>
  <c r="J20" i="6"/>
  <c r="L20" i="6"/>
  <c r="N20" i="6"/>
  <c r="P20" i="6"/>
  <c r="A3" i="14" l="1"/>
  <c r="A3" i="7" l="1"/>
  <c r="A3" i="5"/>
  <c r="A3" i="15"/>
  <c r="A3" i="2" l="1"/>
  <c r="A3" i="11" l="1"/>
  <c r="A3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I7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sharedStrings.xml><?xml version="1.0" encoding="utf-8"?>
<sst xmlns="http://schemas.openxmlformats.org/spreadsheetml/2006/main" count="649" uniqueCount="318">
  <si>
    <t>بهای تمام شده</t>
  </si>
  <si>
    <t>شرکت</t>
  </si>
  <si>
    <t>جمع</t>
  </si>
  <si>
    <t>تعداد</t>
  </si>
  <si>
    <t>خرید طی دوره</t>
  </si>
  <si>
    <t>فروش طی دوره</t>
  </si>
  <si>
    <t>مبلغ</t>
  </si>
  <si>
    <t>تغییرات طی دوره</t>
  </si>
  <si>
    <t>سپرده های بانکی</t>
  </si>
  <si>
    <t>شماره حساب</t>
  </si>
  <si>
    <t>درآمد سود سهام</t>
  </si>
  <si>
    <t>درآمد تغییر ارزش</t>
  </si>
  <si>
    <t>درآمد فروش</t>
  </si>
  <si>
    <t>درآمد سود اوراق</t>
  </si>
  <si>
    <t>نام سپرده</t>
  </si>
  <si>
    <t>سود سپرده بانکی و گواهی سپرده</t>
  </si>
  <si>
    <t>درصد سود به میانگین سپرده</t>
  </si>
  <si>
    <t>درصد از کل درآمدها</t>
  </si>
  <si>
    <t>نام سپرده بانکی</t>
  </si>
  <si>
    <t>خالص ارزش فروش</t>
  </si>
  <si>
    <t>درصد به کل دارایی‌ها</t>
  </si>
  <si>
    <t>تاریخ سررسید</t>
  </si>
  <si>
    <t>سهام</t>
  </si>
  <si>
    <t>1- سرمایه گذاری ها</t>
  </si>
  <si>
    <t>1-1-سرمایه‌گذاری در سهام و حق تقدم سهام</t>
  </si>
  <si>
    <t>2- درآمد حاصل از سرمایه گذاری ها</t>
  </si>
  <si>
    <t>1-2-درآمد حاصل از سرمایه­گذاری در سهام و حق تقدم سهام:</t>
  </si>
  <si>
    <t>2-2-درآمد حاصل از سرمایه­گذاری در اوراق بهادار با درآمد ثابت:</t>
  </si>
  <si>
    <t>3-2-درآمد حاصل از سرمایه­گذاری در سپرده بانکی و گواهی سپرده:</t>
  </si>
  <si>
    <t>4-2-سایر درآمدها:</t>
  </si>
  <si>
    <t>سایر درآمدها</t>
  </si>
  <si>
    <t>قیمت بازار هر سهم</t>
  </si>
  <si>
    <t>نرخ سود علی الحساب</t>
  </si>
  <si>
    <t>افزایش</t>
  </si>
  <si>
    <t>کاهش</t>
  </si>
  <si>
    <t>شرح</t>
  </si>
  <si>
    <t>یادداشت</t>
  </si>
  <si>
    <t>هزینه تنزیل</t>
  </si>
  <si>
    <t>خالص درآمد</t>
  </si>
  <si>
    <t>ارزش دفتری</t>
  </si>
  <si>
    <t>سود و زیان ناشی از تغییر قیمت</t>
  </si>
  <si>
    <t>ارزش دفتری برابر است با میانگین موزون خالص ارزش فروش هر سهم/ورقه در ابتدای دوره با خرید طی دوره ضربدر تعداد در پایان دوره</t>
  </si>
  <si>
    <t>خالص بهای فروش</t>
  </si>
  <si>
    <t>سود و زیان ناشی از فروش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</si>
  <si>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</si>
  <si>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</si>
  <si>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مبلغ فروش</t>
  </si>
  <si>
    <t xml:space="preserve">صورت وضعیت پرتفوی </t>
  </si>
  <si>
    <t>3-1- سرمایه‌گذاری در  سپرده‌ بانکی</t>
  </si>
  <si>
    <t>1-2</t>
  </si>
  <si>
    <t>2-2</t>
  </si>
  <si>
    <t>3-2</t>
  </si>
  <si>
    <t>4-2</t>
  </si>
  <si>
    <t xml:space="preserve">صورت وضعیت درآمدها </t>
  </si>
  <si>
    <t xml:space="preserve">درآمد سود </t>
  </si>
  <si>
    <t xml:space="preserve"> </t>
  </si>
  <si>
    <t>یادداشت الف</t>
  </si>
  <si>
    <t>یادداشت ب</t>
  </si>
  <si>
    <t>یادداشت ج</t>
  </si>
  <si>
    <t>ب- درآمد ناشی از تغییر قیمت اوراق بهادار</t>
  </si>
  <si>
    <t>ج- سود(زیان) حاصل از فروش اوراق بهادار</t>
  </si>
  <si>
    <t>یادداشت د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</si>
  <si>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</si>
  <si>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</si>
  <si>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</si>
  <si>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دارای مجوز از سازمان</t>
  </si>
  <si>
    <t>تاریخ انتشار اوراق</t>
  </si>
  <si>
    <t>نرخ سود اسمی</t>
  </si>
  <si>
    <t>قیمت بازار هر ورقه</t>
  </si>
  <si>
    <t>گزارش وضعیت پرتفوی ماهانه</t>
  </si>
  <si>
    <t>‫پذیرفته شده در بورس یا فرابورس</t>
  </si>
  <si>
    <t>‫درآمد سود سهام</t>
  </si>
  <si>
    <t>‫اطلاعات مجمع</t>
  </si>
  <si>
    <t>‫طی دوره</t>
  </si>
  <si>
    <t>‫نام سهام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</si>
  <si>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</si>
  <si>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</si>
  <si>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</si>
  <si>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</si>
  <si>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</si>
  <si>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</si>
  <si>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‫جمع</t>
  </si>
  <si>
    <t>درصد از کل داراییها</t>
  </si>
  <si>
    <t>درآمدها</t>
  </si>
  <si>
    <t>صندوق سرمایه گذاری ندای ثابت کیان</t>
  </si>
  <si>
    <t>-</t>
  </si>
  <si>
    <t>---</t>
  </si>
  <si>
    <t>بلی</t>
  </si>
  <si>
    <t>‫نام اوراق بهادار</t>
  </si>
  <si>
    <t>‫تعداد</t>
  </si>
  <si>
    <t>‫قیمت تعدیل شده</t>
  </si>
  <si>
    <t>‫درصد تعدیل</t>
  </si>
  <si>
    <t>‫خالص ارزش فروش تعدیل شده</t>
  </si>
  <si>
    <t>‫دلیل تعدیل</t>
  </si>
  <si>
    <t>‫اوراق بهاداری که ارزش آن‌ها در تاریخ گزارش تعدیل شده</t>
  </si>
  <si>
    <r>
      <t>‫</t>
    </r>
    <r>
      <rPr>
        <b/>
        <sz val="12"/>
        <color rgb="FFFF0000"/>
        <rFont val="B Nazanin"/>
        <charset val="178"/>
      </rPr>
      <t>(بر اساس دستورالعمل نحوه تعیین قیمت خرید و فروش اوراق بهادار در صندوق‌های سرمایه گذاری)</t>
    </r>
  </si>
  <si>
    <t>دارایی</t>
  </si>
  <si>
    <t>مسکن کوتاه مدت	-310058720239</t>
  </si>
  <si>
    <t>مسکن کوتاه مدت-4110001907768</t>
  </si>
  <si>
    <t xml:space="preserve">اقتصاد نوین کوتاه مدت-12485068674801	</t>
  </si>
  <si>
    <t xml:space="preserve">سامان کوتاه مدت-86481039984291	</t>
  </si>
  <si>
    <t xml:space="preserve"> خاور میانه کوتاه مدت-100510810707074272	</t>
  </si>
  <si>
    <t>صادرات کوتاه مدت-0217918818004</t>
  </si>
  <si>
    <t>ملی کوتاه مدت- 0228580617005</t>
  </si>
  <si>
    <t>مرابحه عام دولت69-ش.خ0310 (اراد69)</t>
  </si>
  <si>
    <t>1399/10/21</t>
  </si>
  <si>
    <t>1403/10/21</t>
  </si>
  <si>
    <t>سینا جاری-371452773001</t>
  </si>
  <si>
    <t>مسکن 5600931334082</t>
  </si>
  <si>
    <t>رفاه کوتاه مدت 359490219</t>
  </si>
  <si>
    <t>مسکن 5600931334074</t>
  </si>
  <si>
    <t>اقتصاد نوین 32-6867480-283-124</t>
  </si>
  <si>
    <t>درآمد حاصل از سرمایه­گذاری در سهام و حق تقدم سهام و صندوق‌های سرمایه‌گذاری</t>
  </si>
  <si>
    <t>تعدیل کارمزد کارگزاری</t>
  </si>
  <si>
    <t>مسکن 5600929334672</t>
  </si>
  <si>
    <t>اقتصادنوین - ۱۲۴.۲۸۳.۶۸۶۷۴۸۰.۳۶</t>
  </si>
  <si>
    <t>مسکن 5600929334698</t>
  </si>
  <si>
    <t>مرابحه عام دولت3-ش.خ 0303 (اراد33)</t>
  </si>
  <si>
    <t>صکوک مرابحه غدیر504-3ماهه18% (صغدیر504)</t>
  </si>
  <si>
    <t>1403/03/27</t>
  </si>
  <si>
    <t>بانک اقتصاد نوین 124283686748038</t>
  </si>
  <si>
    <t>پاسارگاد 2093071522726814</t>
  </si>
  <si>
    <t>پاسارگاد 2093071522726813</t>
  </si>
  <si>
    <t>پاسارگاد- 2093071522726815</t>
  </si>
  <si>
    <t>پاسارگاد 209306152272682</t>
  </si>
  <si>
    <t>مرابحه عام دولت142-ش.خ031009 (اراد142)</t>
  </si>
  <si>
    <t>1402/08/09</t>
  </si>
  <si>
    <t>1403/10/09</t>
  </si>
  <si>
    <t xml:space="preserve">پاسارگاد کوتاه مدت 2098100152272681	</t>
  </si>
  <si>
    <t>تجارت کوتاه مدت 104458815</t>
  </si>
  <si>
    <t>اقتصاد نوین 124283686748039</t>
  </si>
  <si>
    <t>پاسارگاد 2093071522726816</t>
  </si>
  <si>
    <t>بانک شهر 7001003214661</t>
  </si>
  <si>
    <t>پاسارگاد 209306152272683</t>
  </si>
  <si>
    <t>بانک صادرات 0406996080002</t>
  </si>
  <si>
    <t>تجارت بلندمدت 6174547090</t>
  </si>
  <si>
    <t>پاسارگاد 2093071522726817</t>
  </si>
  <si>
    <t>بانک شهر 7001003214649</t>
  </si>
  <si>
    <t>اسنادخزانه-م4بودجه01-040917 (اخزا104)</t>
  </si>
  <si>
    <t>مرابحه مادیران-کیان060626 (لوازم مادیران063)</t>
  </si>
  <si>
    <t>بانک شهر 7001003258763</t>
  </si>
  <si>
    <t>بانک شهر 7001003260318</t>
  </si>
  <si>
    <t>بانک شهر کوتاه مدت 7001003242019</t>
  </si>
  <si>
    <t xml:space="preserve">بانک شهر 7001003258678 </t>
  </si>
  <si>
    <t>اقتصاد نوین ۱۲۴۲۸۳۶۸۶۷۴۸۰۴۱</t>
  </si>
  <si>
    <t>بانک شهر 7001003316349</t>
  </si>
  <si>
    <t>بانک شهر 7001003356883</t>
  </si>
  <si>
    <t>مسکن 5600931334165</t>
  </si>
  <si>
    <t>بانک اقتصاد نوین ۱۲۴۲۸۳۶۸۶۷۴۸۰۴۲</t>
  </si>
  <si>
    <t>بانک شهر 7001003356893</t>
  </si>
  <si>
    <t>مسکن 5600929335463</t>
  </si>
  <si>
    <t>بانک شهر 7001003316357</t>
  </si>
  <si>
    <t>بانک شهر 7001003258822</t>
  </si>
  <si>
    <t>بانک شهر 7001003316350</t>
  </si>
  <si>
    <t>بانک شهر 7001003259908</t>
  </si>
  <si>
    <t>بانک شهر 7001003260834</t>
  </si>
  <si>
    <t>اقتصادنوین 124283686748040</t>
  </si>
  <si>
    <t>بانک شهر 7001003317861</t>
  </si>
  <si>
    <t xml:space="preserve">بانک شهر 7001003258695 </t>
  </si>
  <si>
    <t>بانک شهر 7001003260934</t>
  </si>
  <si>
    <t>بانک شهر 7001003316468</t>
  </si>
  <si>
    <t>بانک شهر 7001003345278</t>
  </si>
  <si>
    <t>اسنادخزانه-م7بودجه00-030912 (اخزا007)</t>
  </si>
  <si>
    <t>اسنادخزانه-م7بودجه01-040714 (اخزا107)</t>
  </si>
  <si>
    <t>1400/04/14</t>
  </si>
  <si>
    <t>1403/09/12</t>
  </si>
  <si>
    <t>بانک شهر 7001003400845</t>
  </si>
  <si>
    <t>بانک شهر 7001003374932</t>
  </si>
  <si>
    <t>بانک شهر 7001003374469</t>
  </si>
  <si>
    <t>بانک تجارت کوتاه مدت 24845478</t>
  </si>
  <si>
    <t>بانک شهر 7001003374403</t>
  </si>
  <si>
    <t>بانک شهر 7001003374230</t>
  </si>
  <si>
    <t>بانک شهر 7001003374148</t>
  </si>
  <si>
    <t>بانک شهر 7001003401283</t>
  </si>
  <si>
    <t>بانک شهر 7001003373974</t>
  </si>
  <si>
    <t>بانک شهر 7001003375223</t>
  </si>
  <si>
    <t>بانک تجارت 0479601842490</t>
  </si>
  <si>
    <t>بانک شهر 7001003400925</t>
  </si>
  <si>
    <t>بانک شهر 7001003359645</t>
  </si>
  <si>
    <t>بانک شهر 7001003373626</t>
  </si>
  <si>
    <t>بانک شهر 7001003374935</t>
  </si>
  <si>
    <t>بانک شهر 7001003400910</t>
  </si>
  <si>
    <t>بانک تجارت 0479601842568</t>
  </si>
  <si>
    <t>بانک شهر  7001003572607</t>
  </si>
  <si>
    <t>بانک شهر 7001003527830</t>
  </si>
  <si>
    <t>بانک شهر 7001003556987</t>
  </si>
  <si>
    <t>بانک شهر 7001003572558</t>
  </si>
  <si>
    <t>بانک شهر ۷۰۰۱۰۰۳۵۲۷۹۱۸</t>
  </si>
  <si>
    <t>بانک پاسارگاد 2093071522726818</t>
  </si>
  <si>
    <t>اقتصاد نوین 124283686748043</t>
  </si>
  <si>
    <t>بانک اقتصاد نوین 44-6867480-283-124</t>
  </si>
  <si>
    <t>بانک سامان 830.111.3998429.1</t>
  </si>
  <si>
    <t>بانک شهر 7001003631847</t>
  </si>
  <si>
    <t>بانک شهر ۷۰۰۱۰۰۳۶۳۱۸۷۲</t>
  </si>
  <si>
    <t>830.111.3998429.1</t>
  </si>
  <si>
    <t>اسناد خزانه-م1بودجه01-040326 (اخزا101)</t>
  </si>
  <si>
    <t>مرابحه عالیس-کیان070224 (عالیس072)</t>
  </si>
  <si>
    <t>1401/02/26</t>
  </si>
  <si>
    <t>1403/02/24</t>
  </si>
  <si>
    <t>1404/03/26</t>
  </si>
  <si>
    <t>1407/02/24</t>
  </si>
  <si>
    <t>بانک مسکن 5600887334805</t>
  </si>
  <si>
    <t>بانک مسکن 5600887334755</t>
  </si>
  <si>
    <t>بانک شهر 7001003694404</t>
  </si>
  <si>
    <t>بانک شهر 7001003694393</t>
  </si>
  <si>
    <t>بانک شهر 7001003694376</t>
  </si>
  <si>
    <t>بانک شهر 7001003694372</t>
  </si>
  <si>
    <t>بانک شهر 7001003694364</t>
  </si>
  <si>
    <t>بانک شهر 7001003694358</t>
  </si>
  <si>
    <t>بانک شهر 7001003694342</t>
  </si>
  <si>
    <t>بانک شهر 7001003694335</t>
  </si>
  <si>
    <t>بانک شهر 7001003677276</t>
  </si>
  <si>
    <t>بانک شهر 7001003667789</t>
  </si>
  <si>
    <t>بانک شهر 7001003667501</t>
  </si>
  <si>
    <t>بانک شهر 7001003667498</t>
  </si>
  <si>
    <t>بانک سامان کوتاه مدت 1-3998429-810-830</t>
  </si>
  <si>
    <t xml:space="preserve"> مطابق بند 3-2 دستورالعمل نحوه تعیین قیمت خرید و فروش اوراق بهادار </t>
  </si>
  <si>
    <t>صندوق سرمایه گذاری ...................</t>
  </si>
  <si>
    <t>برای ماه منتهی به ............</t>
  </si>
  <si>
    <t>1-3-2-مبالغ تخصیص یافته بابت خرید و نگهداری اوراق بهادار با درآمد ثابت (نرخ سود ترجیحی)</t>
  </si>
  <si>
    <t>طرف معامله</t>
  </si>
  <si>
    <t>نوع وابستگی</t>
  </si>
  <si>
    <t>نام ورقه بهادار</t>
  </si>
  <si>
    <t>تعداد اوراق</t>
  </si>
  <si>
    <t>بهای تمام شده اوراق</t>
  </si>
  <si>
    <t>مبلغ شناسایی شده بابت قرارداد خرید و نگهداری اوراق بهادار</t>
  </si>
  <si>
    <t>نرخ اسمی</t>
  </si>
  <si>
    <t>میانگین نرخ بازده تا سررسید قراردادهای منعقده</t>
  </si>
  <si>
    <r>
      <t>شرکت</t>
    </r>
    <r>
      <rPr>
        <sz val="11"/>
        <color theme="1"/>
        <rFont val="Calibri"/>
        <family val="2"/>
        <scheme val="minor"/>
      </rPr>
      <t>...</t>
    </r>
  </si>
  <si>
    <t>مدیر صندوق</t>
  </si>
  <si>
    <t>ورقه الف</t>
  </si>
  <si>
    <t>ورقه ب</t>
  </si>
  <si>
    <t xml:space="preserve">شرکت مادر </t>
  </si>
  <si>
    <t>ورقه د</t>
  </si>
  <si>
    <r>
      <t>صندوق</t>
    </r>
    <r>
      <rPr>
        <sz val="7"/>
        <color theme="1"/>
        <rFont val="Calibri"/>
        <family val="2"/>
        <scheme val="minor"/>
      </rPr>
      <t xml:space="preserve"> </t>
    </r>
    <r>
      <rPr>
        <sz val="7"/>
        <color theme="1"/>
        <rFont val="B Mitra"/>
        <charset val="178"/>
      </rPr>
      <t xml:space="preserve"> سرمایه­گذاری اختصاصی بازارگردانی </t>
    </r>
    <r>
      <rPr>
        <sz val="7"/>
        <color theme="1"/>
        <rFont val="Calibri"/>
        <family val="2"/>
        <scheme val="minor"/>
      </rPr>
      <t>…</t>
    </r>
  </si>
  <si>
    <t>صندوق­ سرمایه­گذاری اختصاصی بازارگردانی تحت مدیریت مدیر صندوق یا اشخاص تحت کنترل یا وابسته *</t>
  </si>
  <si>
    <t>ورقه ج</t>
  </si>
  <si>
    <t>سایر</t>
  </si>
  <si>
    <t>ورقه ح</t>
  </si>
  <si>
    <t>ورقه ط</t>
  </si>
  <si>
    <t>ورقه ی</t>
  </si>
  <si>
    <t>ورقه س</t>
  </si>
  <si>
    <t>*به تفکیک هر یک از صندوق­های سرمایه­گذاری اختصاصی بازارگردانی طرف قرارداد افشا گردد.</t>
  </si>
  <si>
    <t xml:space="preserve">   </t>
  </si>
  <si>
    <t xml:space="preserve">                 </t>
  </si>
  <si>
    <t>د- سود اوراق بهادار با درآمد ثابت</t>
  </si>
  <si>
    <t>د- سود سپرده بانکی</t>
  </si>
  <si>
    <t>بانک پاسارگاد 2093071522726819</t>
  </si>
  <si>
    <t>صندوق سرمایه گذاری اختصاصی بازارگردانی کیان</t>
  </si>
  <si>
    <t>شرکت بهار رز عالیس چناران</t>
  </si>
  <si>
    <t>میانگین نرخ بازده تا سررسید قراردادهای منعقده 
(مؤثر سالانه)</t>
  </si>
  <si>
    <t>20.50</t>
  </si>
  <si>
    <t>‫قیمت پایانی</t>
  </si>
  <si>
    <t>اقتصاد نوین34-6867480-283-124</t>
  </si>
  <si>
    <t>اقتصاد نوین33-6867480-283-124</t>
  </si>
  <si>
    <t>اقتصاد نوین 124.283.6867480.30</t>
  </si>
  <si>
    <t>اقتصاد نوین 124.283.6867480.29</t>
  </si>
  <si>
    <t>اقتصاد نوین 124.283.6867480.28</t>
  </si>
  <si>
    <t>اقتصاد نوین 124.283.6867480.27</t>
  </si>
  <si>
    <t>اقتصاد نوین 124.283.6867480.26</t>
  </si>
  <si>
    <t>اقتصاد نوین 124.283.6867480.25</t>
  </si>
  <si>
    <t>اقتصاد نوین 124.283.6867480.24</t>
  </si>
  <si>
    <t>اقتصاد نوین 124.283.6867480.23</t>
  </si>
  <si>
    <t>اقتصاد نوین 124.283.6867480.22</t>
  </si>
  <si>
    <t>اقتصاد نوین 124.283.6867480.20</t>
  </si>
  <si>
    <t>اقتصاد نوین - 124283686748037</t>
  </si>
  <si>
    <t>اقتصاد نوین- 31-6867480-283-124</t>
  </si>
  <si>
    <t>اقتصاد نوین- 124.283.6867480.35</t>
  </si>
  <si>
    <t>Row Labels</t>
  </si>
  <si>
    <t>Sum of تعداد</t>
  </si>
  <si>
    <t>1403/06/31</t>
  </si>
  <si>
    <t>مرابحه عام دولت69-ش.خ0310</t>
  </si>
  <si>
    <t>بانک شهر 7001004144961</t>
  </si>
  <si>
    <t>بانک شهر 7001004144924</t>
  </si>
  <si>
    <t xml:space="preserve">بانک شهر 7001004144875 </t>
  </si>
  <si>
    <t>بانک شهر 7001004144835</t>
  </si>
  <si>
    <t>بانک شهر 7001004144834</t>
  </si>
  <si>
    <t xml:space="preserve"> ۱۲۴.۲۸۳.۶۸۶۷۴۸۰.۳۶</t>
  </si>
  <si>
    <t>124.283.6867480.30</t>
  </si>
  <si>
    <t>124.283.6867480.29</t>
  </si>
  <si>
    <t>124.283.6867480.28</t>
  </si>
  <si>
    <t>124.283.6867480.27</t>
  </si>
  <si>
    <t>124.283.6867480.26</t>
  </si>
  <si>
    <t>124.283.6867480.25</t>
  </si>
  <si>
    <t>124.283.6867480.24</t>
  </si>
  <si>
    <t>124.283.6867480.23</t>
  </si>
  <si>
    <t>124.283.6867480.20</t>
  </si>
  <si>
    <t xml:space="preserve"> 124.283.6867480.35</t>
  </si>
  <si>
    <t>Sum of مبلغ خالص</t>
  </si>
  <si>
    <t>Sum of سود و زیان خالص</t>
  </si>
  <si>
    <t>اخزا007</t>
  </si>
  <si>
    <t>اخزا104</t>
  </si>
  <si>
    <t>اخزا107</t>
  </si>
  <si>
    <t>اراد142</t>
  </si>
  <si>
    <t>اراد33</t>
  </si>
  <si>
    <t>اراد69</t>
  </si>
  <si>
    <t>صغدیر504</t>
  </si>
  <si>
    <t>عالیس072</t>
  </si>
  <si>
    <t>لوازم مادیران063</t>
  </si>
  <si>
    <t>طی مهر ماه</t>
  </si>
  <si>
    <t>از ابتدای سال مالی تا پایان مهرماه</t>
  </si>
  <si>
    <t>طی مهرماه</t>
  </si>
  <si>
    <t>از ابتدای سال مالی تا پایان مهر ماه</t>
  </si>
  <si>
    <t>از ابتدای سال مالی تا مهرماه</t>
  </si>
  <si>
    <t>مرابحه عام دولت142-ش.خ031009</t>
  </si>
  <si>
    <t xml:space="preserve"> 124.283.6867480.22</t>
  </si>
  <si>
    <t xml:space="preserve"> 31-6867480-283-124</t>
  </si>
  <si>
    <t xml:space="preserve"> 32-6867480-283-124</t>
  </si>
  <si>
    <t>33-6867480-283-124</t>
  </si>
  <si>
    <t>34-6867480-283-124</t>
  </si>
  <si>
    <t>124-283-6867480-44</t>
  </si>
  <si>
    <t>830-810-3998429-1</t>
  </si>
  <si>
    <t>1406/06/26</t>
  </si>
  <si>
    <t>1405/04/07</t>
  </si>
  <si>
    <t>منتهی به 1403/07/30</t>
  </si>
  <si>
    <t>برای ماه منتهی به 1403/07/30</t>
  </si>
  <si>
    <t>1403/07/30</t>
  </si>
  <si>
    <t>5600931334074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</si>
</sst>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#,##0_-;[Red]\(#,##0\)"/>
    <numFmt numFmtId="166" formatCode="_-* #,##0_-;_-* #,##0\-;_-* &quot;-&quot;??_-;_-@_-"/>
    <numFmt numFmtId="167" formatCode="_-* #,##0.00000000_-;_-* #,##0.00000000\-;_-* &quot;-&quot;??_-;_-@_-"/>
    <numFmt numFmtId="168" formatCode="_(* #,##0.000_);_(* \(#,##0.000\);_(* &quot;-&quot;??_);_(@_)"/>
    <numFmt numFmtId="169" formatCode="0.0%"/>
    <numFmt numFmtId="170" formatCode="_(* #,##0.00000000_);_(* \(#,##0.00000000\);_(* &quot;-&quot;??_);_(@_)"/>
    <numFmt numFmtId="171" formatCode="_(* #,##0.0000000_);_(* \(#,##0.0000000\);_(* &quot;-&quot;??_);_(@_)"/>
  </numFmts>
  <fonts count="67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charset val="178"/>
      <scheme val="minor"/>
    </font>
    <font>
      <b/>
      <sz val="20"/>
      <color theme="1"/>
      <name val="B Mitra"/>
      <charset val="178"/>
    </font>
    <font>
      <sz val="20"/>
      <color theme="1"/>
      <name val="B Mitra"/>
      <charset val="178"/>
    </font>
    <font>
      <b/>
      <sz val="20"/>
      <color rgb="FF0062AC"/>
      <name val="B Mitra"/>
      <charset val="178"/>
    </font>
    <font>
      <sz val="20"/>
      <name val="B Mitra"/>
      <charset val="178"/>
    </font>
    <font>
      <b/>
      <sz val="16"/>
      <color theme="1"/>
      <name val="B Mitra"/>
      <charset val="178"/>
    </font>
    <font>
      <sz val="14"/>
      <color theme="1"/>
      <name val="B Mitra"/>
      <charset val="178"/>
    </font>
    <font>
      <b/>
      <sz val="16"/>
      <color rgb="FF0062AC"/>
      <name val="B Mitra"/>
      <charset val="178"/>
    </font>
    <font>
      <b/>
      <sz val="10"/>
      <color theme="1"/>
      <name val="B Mitra"/>
      <charset val="178"/>
    </font>
    <font>
      <sz val="12"/>
      <name val="B Mitra"/>
      <charset val="178"/>
    </font>
    <font>
      <sz val="11"/>
      <color theme="1"/>
      <name val="B Mitra"/>
      <charset val="178"/>
    </font>
    <font>
      <sz val="16"/>
      <color theme="1"/>
      <name val="B Mitra"/>
      <charset val="178"/>
    </font>
    <font>
      <sz val="10"/>
      <color theme="1"/>
      <name val="B Mitra"/>
      <charset val="178"/>
    </font>
    <font>
      <b/>
      <sz val="18"/>
      <color theme="1"/>
      <name val="B Mitra"/>
      <charset val="178"/>
    </font>
    <font>
      <b/>
      <sz val="12"/>
      <color theme="1"/>
      <name val="B Mitra"/>
      <charset val="178"/>
    </font>
    <font>
      <b/>
      <sz val="12"/>
      <color rgb="FF0062AC"/>
      <name val="B Mitra"/>
      <charset val="178"/>
    </font>
    <font>
      <sz val="12"/>
      <color theme="1"/>
      <name val="B Mitra"/>
      <charset val="178"/>
    </font>
    <font>
      <b/>
      <sz val="14"/>
      <color theme="1"/>
      <name val="B Mitra"/>
      <charset val="178"/>
    </font>
    <font>
      <b/>
      <sz val="14"/>
      <color rgb="FF000000"/>
      <name val="B Mitra"/>
      <charset val="178"/>
    </font>
    <font>
      <b/>
      <sz val="16"/>
      <color rgb="FF000000"/>
      <name val="B Mitra"/>
      <charset val="178"/>
    </font>
    <font>
      <sz val="16"/>
      <color rgb="FF000000"/>
      <name val="B Mitra"/>
      <charset val="178"/>
    </font>
    <font>
      <b/>
      <sz val="14"/>
      <color rgb="FF0062AC"/>
      <name val="B Mitra"/>
      <charset val="178"/>
    </font>
    <font>
      <sz val="14"/>
      <name val="B Mitra"/>
      <charset val="178"/>
    </font>
    <font>
      <b/>
      <sz val="12"/>
      <name val="B Mitra"/>
      <charset val="178"/>
    </font>
    <font>
      <b/>
      <sz val="12"/>
      <color rgb="FF000000"/>
      <name val="B Mitra"/>
      <charset val="178"/>
    </font>
    <font>
      <sz val="12"/>
      <color rgb="FF000000"/>
      <name val="B Mitra"/>
      <charset val="178"/>
    </font>
    <font>
      <sz val="14"/>
      <color rgb="FF000000"/>
      <name val="B Mitra"/>
      <charset val="178"/>
    </font>
    <font>
      <sz val="12"/>
      <name val="B Nazanin"/>
      <charset val="178"/>
    </font>
    <font>
      <b/>
      <sz val="26"/>
      <color theme="1"/>
      <name val="B Mitra"/>
      <charset val="178"/>
    </font>
    <font>
      <sz val="18"/>
      <name val="B Mitra"/>
      <charset val="178"/>
    </font>
    <font>
      <b/>
      <sz val="12"/>
      <color theme="1"/>
      <name val="B Nazanin"/>
      <charset val="178"/>
    </font>
    <font>
      <sz val="11"/>
      <color indexed="8"/>
      <name val="B Nazanin"/>
      <charset val="178"/>
    </font>
    <font>
      <b/>
      <sz val="16"/>
      <name val="B Mitra"/>
      <charset val="178"/>
    </font>
    <font>
      <b/>
      <sz val="10"/>
      <color rgb="FF000000"/>
      <name val="B Mitra"/>
      <charset val="178"/>
    </font>
    <font>
      <u/>
      <sz val="11"/>
      <color theme="10"/>
      <name val="Calibri"/>
      <family val="2"/>
      <scheme val="minor"/>
    </font>
    <font>
      <sz val="22"/>
      <color theme="1"/>
      <name val="B Mitra"/>
      <charset val="178"/>
    </font>
    <font>
      <sz val="9"/>
      <color rgb="FF2E2E2E"/>
      <name val="WYekan"/>
    </font>
    <font>
      <b/>
      <sz val="12"/>
      <name val="B Nazanin"/>
      <charset val="178"/>
    </font>
    <font>
      <sz val="11"/>
      <color theme="1"/>
      <name val="B Nazanin"/>
      <charset val="178"/>
    </font>
    <font>
      <sz val="14"/>
      <name val="B Nazanin"/>
      <charset val="178"/>
    </font>
    <font>
      <sz val="14"/>
      <color theme="1"/>
      <name val="B Nazanin"/>
      <charset val="178"/>
    </font>
    <font>
      <b/>
      <sz val="16"/>
      <color theme="1"/>
      <name val="B Nazanin"/>
      <charset val="178"/>
    </font>
    <font>
      <sz val="16"/>
      <color theme="1"/>
      <name val="B Nazanin"/>
      <charset val="178"/>
    </font>
    <font>
      <sz val="16"/>
      <color rgb="FF0070C0"/>
      <name val="B Nazanin"/>
      <charset val="178"/>
    </font>
    <font>
      <sz val="11"/>
      <color theme="9" tint="-0.499984740745262"/>
      <name val="B Mitra"/>
      <charset val="178"/>
    </font>
    <font>
      <sz val="9"/>
      <color rgb="FF00A651"/>
      <name val="WYekan"/>
    </font>
    <font>
      <b/>
      <sz val="12"/>
      <color rgb="FFFF0000"/>
      <name val="B Nazanin"/>
      <charset val="178"/>
    </font>
    <font>
      <sz val="8"/>
      <name val="Calibri"/>
      <family val="2"/>
      <charset val="178"/>
      <scheme val="minor"/>
    </font>
    <font>
      <b/>
      <sz val="12"/>
      <color rgb="FF002060"/>
      <name val="B Mitra"/>
      <charset val="178"/>
    </font>
    <font>
      <sz val="12"/>
      <color rgb="FF002060"/>
      <name val="B Mitra"/>
      <charset val="178"/>
    </font>
    <font>
      <sz val="11"/>
      <color rgb="FFFF0000"/>
      <name val="B Nazanin"/>
      <charset val="178"/>
    </font>
    <font>
      <b/>
      <sz val="11"/>
      <color theme="1"/>
      <name val="B Mitra"/>
      <charset val="178"/>
    </font>
    <font>
      <b/>
      <sz val="18"/>
      <color rgb="FF0062AC"/>
      <name val="B Mitra"/>
      <charset val="178"/>
    </font>
    <font>
      <b/>
      <sz val="9"/>
      <color rgb="FF00A651"/>
      <name val="IranSansFaNum"/>
    </font>
    <font>
      <b/>
      <sz val="9"/>
      <color rgb="FF2E2E2E"/>
      <name val="IranSansFaNum"/>
    </font>
    <font>
      <b/>
      <sz val="12"/>
      <color rgb="FF0062AC"/>
      <name val="B Titr"/>
      <charset val="178"/>
    </font>
    <font>
      <sz val="8"/>
      <color theme="1"/>
      <name val="B Mitra"/>
      <charset val="178"/>
    </font>
    <font>
      <sz val="9"/>
      <color theme="1"/>
      <name val="B Mitra"/>
      <charset val="178"/>
    </font>
    <font>
      <sz val="7"/>
      <color theme="1"/>
      <name val="B Mitra"/>
      <charset val="178"/>
    </font>
    <font>
      <sz val="7"/>
      <color theme="1"/>
      <name val="Calibri"/>
      <family val="2"/>
      <scheme val="minor"/>
    </font>
    <font>
      <b/>
      <sz val="14"/>
      <name val="B Mitra"/>
      <charset val="178"/>
    </font>
    <font>
      <b/>
      <sz val="9"/>
      <color rgb="FF0062AC"/>
      <name val="B Mitra"/>
      <charset val="17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double">
        <color auto="1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rgb="FFEBEBEB"/>
      </left>
      <right style="medium">
        <color rgb="FFEBEBEB"/>
      </right>
      <top style="medium">
        <color rgb="FFEBEBEB"/>
      </top>
      <bottom style="medium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0" fontId="39" fillId="0" borderId="0" applyNumberFormat="0" applyFill="0" applyBorder="0" applyAlignment="0" applyProtection="0"/>
  </cellStyleXfs>
  <cellXfs count="403">
    <xf numFmtId="0" fontId="0" fillId="0" borderId="0" xfId="0"/>
    <xf numFmtId="0" fontId="6" fillId="0" borderId="0" xfId="0" applyFont="1" applyAlignment="1">
      <alignment horizontal="center" vertical="center" wrapText="1" readingOrder="2"/>
    </xf>
    <xf numFmtId="0" fontId="6" fillId="0" borderId="0" xfId="0" applyFont="1" applyAlignment="1">
      <alignment vertical="center" wrapText="1" readingOrder="2"/>
    </xf>
    <xf numFmtId="164" fontId="6" fillId="0" borderId="0" xfId="1" applyNumberFormat="1" applyFont="1" applyBorder="1" applyAlignment="1">
      <alignment vertical="center" wrapText="1" readingOrder="2"/>
    </xf>
    <xf numFmtId="0" fontId="7" fillId="0" borderId="0" xfId="0" applyFont="1" applyAlignment="1">
      <alignment vertical="center" wrapText="1" readingOrder="2"/>
    </xf>
    <xf numFmtId="0" fontId="7" fillId="0" borderId="0" xfId="0" applyFont="1" applyAlignment="1">
      <alignment horizontal="center" vertical="center" readingOrder="2"/>
    </xf>
    <xf numFmtId="37" fontId="9" fillId="0" borderId="0" xfId="0" applyNumberFormat="1" applyFont="1" applyAlignment="1">
      <alignment horizontal="center" vertical="center"/>
    </xf>
    <xf numFmtId="0" fontId="15" fillId="0" borderId="0" xfId="0" applyFont="1"/>
    <xf numFmtId="37" fontId="14" fillId="0" borderId="0" xfId="0" applyNumberFormat="1" applyFont="1" applyAlignment="1">
      <alignment horizontal="center" vertical="center"/>
    </xf>
    <xf numFmtId="0" fontId="24" fillId="0" borderId="0" xfId="0" applyFont="1" applyAlignment="1">
      <alignment vertical="center" wrapText="1" readingOrder="2"/>
    </xf>
    <xf numFmtId="165" fontId="24" fillId="0" borderId="4" xfId="0" applyNumberFormat="1" applyFont="1" applyBorder="1" applyAlignment="1">
      <alignment horizontal="center" vertical="center" wrapText="1" readingOrder="2"/>
    </xf>
    <xf numFmtId="165" fontId="24" fillId="0" borderId="4" xfId="1" applyNumberFormat="1" applyFont="1" applyBorder="1" applyAlignment="1">
      <alignment horizontal="center" vertical="center" wrapText="1" readingOrder="2"/>
    </xf>
    <xf numFmtId="165" fontId="11" fillId="0" borderId="0" xfId="1" applyNumberFormat="1" applyFont="1" applyFill="1"/>
    <xf numFmtId="0" fontId="27" fillId="0" borderId="0" xfId="0" applyFont="1" applyAlignment="1">
      <alignment horizontal="center" vertical="center"/>
    </xf>
    <xf numFmtId="37" fontId="28" fillId="0" borderId="11" xfId="0" applyNumberFormat="1" applyFont="1" applyBorder="1" applyAlignment="1">
      <alignment horizontal="center" vertical="center" wrapText="1"/>
    </xf>
    <xf numFmtId="37" fontId="14" fillId="0" borderId="9" xfId="0" applyNumberFormat="1" applyFont="1" applyBorder="1" applyAlignment="1">
      <alignment horizontal="center" vertical="center"/>
    </xf>
    <xf numFmtId="37" fontId="14" fillId="0" borderId="13" xfId="0" applyNumberFormat="1" applyFont="1" applyBorder="1" applyAlignment="1">
      <alignment horizontal="center" vertical="center"/>
    </xf>
    <xf numFmtId="37" fontId="28" fillId="0" borderId="11" xfId="0" applyNumberFormat="1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1" fillId="0" borderId="0" xfId="0" applyFont="1" applyAlignment="1">
      <alignment horizontal="center" vertical="center" wrapText="1"/>
    </xf>
    <xf numFmtId="164" fontId="7" fillId="0" borderId="0" xfId="1" applyNumberFormat="1" applyFont="1" applyBorder="1" applyAlignment="1">
      <alignment horizontal="center" vertical="center" wrapText="1" readingOrder="2"/>
    </xf>
    <xf numFmtId="164" fontId="7" fillId="0" borderId="0" xfId="1" applyNumberFormat="1" applyFont="1" applyBorder="1" applyAlignment="1">
      <alignment horizontal="center" vertical="center" readingOrder="2"/>
    </xf>
    <xf numFmtId="164" fontId="7" fillId="0" borderId="0" xfId="1" applyNumberFormat="1" applyFont="1" applyAlignment="1">
      <alignment vertical="center"/>
    </xf>
    <xf numFmtId="164" fontId="7" fillId="0" borderId="0" xfId="1" applyNumberFormat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164" fontId="7" fillId="0" borderId="2" xfId="1" applyNumberFormat="1" applyFont="1" applyBorder="1" applyAlignment="1">
      <alignment horizontal="right" vertical="center" readingOrder="2"/>
    </xf>
    <xf numFmtId="164" fontId="7" fillId="0" borderId="2" xfId="1" applyNumberFormat="1" applyFont="1" applyFill="1" applyBorder="1" applyAlignment="1">
      <alignment horizontal="right" vertical="center" readingOrder="2"/>
    </xf>
    <xf numFmtId="10" fontId="7" fillId="0" borderId="2" xfId="2" applyNumberFormat="1" applyFont="1" applyBorder="1" applyAlignment="1">
      <alignment horizontal="center" vertical="center" readingOrder="2"/>
    </xf>
    <xf numFmtId="164" fontId="7" fillId="0" borderId="0" xfId="1" applyNumberFormat="1" applyFont="1" applyFill="1" applyAlignment="1">
      <alignment vertical="center"/>
    </xf>
    <xf numFmtId="10" fontId="7" fillId="0" borderId="0" xfId="2" applyNumberFormat="1" applyFont="1" applyAlignment="1">
      <alignment horizontal="center" vertical="center"/>
    </xf>
    <xf numFmtId="164" fontId="21" fillId="0" borderId="0" xfId="1" applyNumberFormat="1" applyFont="1" applyAlignment="1">
      <alignment vertical="center"/>
    </xf>
    <xf numFmtId="164" fontId="21" fillId="0" borderId="8" xfId="1" applyNumberFormat="1" applyFont="1" applyBorder="1" applyAlignment="1">
      <alignment vertical="center"/>
    </xf>
    <xf numFmtId="164" fontId="21" fillId="0" borderId="0" xfId="1" applyNumberFormat="1" applyFont="1" applyAlignment="1">
      <alignment horizontal="center" vertical="center" wrapText="1" shrinkToFit="1"/>
    </xf>
    <xf numFmtId="164" fontId="16" fillId="0" borderId="0" xfId="1" applyNumberFormat="1" applyFont="1" applyAlignment="1">
      <alignment vertical="center"/>
    </xf>
    <xf numFmtId="164" fontId="10" fillId="0" borderId="8" xfId="1" applyNumberFormat="1" applyFont="1" applyBorder="1" applyAlignment="1">
      <alignment vertical="center"/>
    </xf>
    <xf numFmtId="37" fontId="37" fillId="0" borderId="0" xfId="0" applyNumberFormat="1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165" fontId="16" fillId="0" borderId="0" xfId="1" applyNumberFormat="1" applyFont="1" applyAlignment="1">
      <alignment vertical="center"/>
    </xf>
    <xf numFmtId="165" fontId="16" fillId="0" borderId="0" xfId="0" applyNumberFormat="1" applyFont="1" applyAlignment="1">
      <alignment vertical="center"/>
    </xf>
    <xf numFmtId="0" fontId="16" fillId="0" borderId="0" xfId="0" applyFont="1" applyAlignment="1">
      <alignment horizontal="right" vertical="center"/>
    </xf>
    <xf numFmtId="0" fontId="16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164" fontId="17" fillId="0" borderId="0" xfId="1" applyNumberFormat="1" applyFont="1" applyAlignment="1">
      <alignment vertical="center"/>
    </xf>
    <xf numFmtId="165" fontId="17" fillId="0" borderId="0" xfId="1" applyNumberFormat="1" applyFont="1" applyAlignment="1">
      <alignment vertical="center"/>
    </xf>
    <xf numFmtId="165" fontId="17" fillId="0" borderId="0" xfId="0" applyNumberFormat="1" applyFont="1" applyAlignment="1">
      <alignment vertical="center"/>
    </xf>
    <xf numFmtId="0" fontId="17" fillId="0" borderId="0" xfId="0" applyFont="1" applyAlignment="1">
      <alignment horizontal="right" vertical="center"/>
    </xf>
    <xf numFmtId="0" fontId="24" fillId="0" borderId="4" xfId="0" applyFont="1" applyBorder="1" applyAlignment="1">
      <alignment horizontal="center" vertical="center" wrapText="1" readingOrder="2"/>
    </xf>
    <xf numFmtId="164" fontId="25" fillId="0" borderId="1" xfId="1" applyNumberFormat="1" applyFont="1" applyBorder="1" applyAlignment="1">
      <alignment horizontal="center" vertical="center" wrapText="1" readingOrder="2"/>
    </xf>
    <xf numFmtId="165" fontId="25" fillId="0" borderId="1" xfId="1" applyNumberFormat="1" applyFont="1" applyBorder="1" applyAlignment="1">
      <alignment horizontal="center" vertical="center" wrapText="1" readingOrder="2"/>
    </xf>
    <xf numFmtId="10" fontId="9" fillId="0" borderId="0" xfId="2" applyNumberFormat="1" applyFont="1" applyAlignment="1">
      <alignment horizontal="center" vertical="center"/>
    </xf>
    <xf numFmtId="164" fontId="40" fillId="0" borderId="0" xfId="1" applyNumberFormat="1" applyFont="1" applyAlignment="1">
      <alignment vertical="center"/>
    </xf>
    <xf numFmtId="0" fontId="40" fillId="0" borderId="0" xfId="0" applyFont="1" applyAlignment="1">
      <alignment vertical="center"/>
    </xf>
    <xf numFmtId="165" fontId="40" fillId="0" borderId="0" xfId="1" applyNumberFormat="1" applyFont="1" applyAlignment="1">
      <alignment vertical="center"/>
    </xf>
    <xf numFmtId="165" fontId="40" fillId="0" borderId="0" xfId="0" applyNumberFormat="1" applyFont="1" applyAlignment="1">
      <alignment vertical="center"/>
    </xf>
    <xf numFmtId="10" fontId="24" fillId="0" borderId="8" xfId="2" applyNumberFormat="1" applyFont="1" applyBorder="1" applyAlignment="1">
      <alignment horizontal="center" vertical="center" wrapText="1" readingOrder="2"/>
    </xf>
    <xf numFmtId="10" fontId="9" fillId="0" borderId="0" xfId="0" applyNumberFormat="1" applyFont="1" applyAlignment="1">
      <alignment horizontal="center" vertical="center"/>
    </xf>
    <xf numFmtId="164" fontId="10" fillId="0" borderId="0" xfId="1" applyNumberFormat="1" applyFont="1" applyFill="1" applyAlignment="1">
      <alignment vertical="center"/>
    </xf>
    <xf numFmtId="164" fontId="7" fillId="0" borderId="0" xfId="1" applyNumberFormat="1" applyFont="1" applyAlignment="1">
      <alignment vertical="center" wrapText="1"/>
    </xf>
    <xf numFmtId="37" fontId="9" fillId="0" borderId="0" xfId="0" quotePrefix="1" applyNumberFormat="1" applyFont="1" applyAlignment="1">
      <alignment horizontal="center" vertical="center" wrapText="1"/>
    </xf>
    <xf numFmtId="37" fontId="14" fillId="0" borderId="0" xfId="0" quotePrefix="1" applyNumberFormat="1" applyFont="1" applyAlignment="1">
      <alignment horizontal="right" vertical="center" wrapText="1"/>
    </xf>
    <xf numFmtId="37" fontId="9" fillId="0" borderId="0" xfId="0" quotePrefix="1" applyNumberFormat="1" applyFont="1" applyAlignment="1">
      <alignment horizontal="right" vertical="center" wrapText="1"/>
    </xf>
    <xf numFmtId="164" fontId="7" fillId="0" borderId="0" xfId="1" applyNumberFormat="1" applyFont="1" applyFill="1" applyAlignment="1">
      <alignment horizontal="center" vertical="center"/>
    </xf>
    <xf numFmtId="164" fontId="21" fillId="0" borderId="1" xfId="1" applyNumberFormat="1" applyFont="1" applyFill="1" applyBorder="1"/>
    <xf numFmtId="164" fontId="19" fillId="0" borderId="1" xfId="1" applyNumberFormat="1" applyFont="1" applyFill="1" applyBorder="1" applyAlignment="1">
      <alignment horizontal="center" vertical="center" wrapText="1" readingOrder="2"/>
    </xf>
    <xf numFmtId="164" fontId="21" fillId="0" borderId="0" xfId="1" applyNumberFormat="1" applyFont="1" applyFill="1" applyAlignment="1">
      <alignment horizontal="center" vertical="center"/>
    </xf>
    <xf numFmtId="164" fontId="21" fillId="0" borderId="0" xfId="1" applyNumberFormat="1" applyFont="1" applyFill="1" applyAlignment="1">
      <alignment vertical="center"/>
    </xf>
    <xf numFmtId="10" fontId="14" fillId="0" borderId="0" xfId="2" applyNumberFormat="1" applyFont="1" applyFill="1" applyAlignment="1">
      <alignment horizontal="center" vertical="center"/>
    </xf>
    <xf numFmtId="164" fontId="17" fillId="0" borderId="0" xfId="1" applyNumberFormat="1" applyFont="1" applyFill="1"/>
    <xf numFmtId="164" fontId="11" fillId="0" borderId="0" xfId="1" applyNumberFormat="1" applyFont="1" applyFill="1" applyAlignment="1">
      <alignment vertical="center"/>
    </xf>
    <xf numFmtId="164" fontId="11" fillId="0" borderId="0" xfId="1" applyNumberFormat="1" applyFont="1" applyFill="1"/>
    <xf numFmtId="164" fontId="16" fillId="0" borderId="0" xfId="1" applyNumberFormat="1" applyFont="1" applyFill="1" applyAlignment="1">
      <alignment horizontal="center"/>
    </xf>
    <xf numFmtId="164" fontId="16" fillId="0" borderId="0" xfId="1" applyNumberFormat="1" applyFont="1" applyFill="1"/>
    <xf numFmtId="164" fontId="16" fillId="0" borderId="4" xfId="1" applyNumberFormat="1" applyFont="1" applyFill="1" applyBorder="1" applyAlignment="1">
      <alignment horizontal="center" vertical="center" wrapText="1"/>
    </xf>
    <xf numFmtId="164" fontId="16" fillId="0" borderId="0" xfId="1" applyNumberFormat="1" applyFont="1" applyFill="1" applyAlignment="1">
      <alignment horizontal="center" vertical="center" wrapText="1"/>
    </xf>
    <xf numFmtId="164" fontId="21" fillId="0" borderId="0" xfId="1" applyNumberFormat="1" applyFont="1" applyFill="1"/>
    <xf numFmtId="164" fontId="11" fillId="0" borderId="0" xfId="1" applyNumberFormat="1" applyFont="1" applyFill="1" applyAlignment="1">
      <alignment horizontal="center" vertical="center"/>
    </xf>
    <xf numFmtId="165" fontId="11" fillId="0" borderId="0" xfId="1" applyNumberFormat="1" applyFont="1" applyFill="1" applyAlignment="1">
      <alignment horizontal="center" vertical="center"/>
    </xf>
    <xf numFmtId="164" fontId="11" fillId="0" borderId="0" xfId="1" applyNumberFormat="1" applyFont="1" applyFill="1" applyBorder="1" applyAlignment="1">
      <alignment vertical="center"/>
    </xf>
    <xf numFmtId="164" fontId="15" fillId="0" borderId="0" xfId="1" applyNumberFormat="1" applyFont="1" applyFill="1"/>
    <xf numFmtId="165" fontId="15" fillId="0" borderId="0" xfId="1" applyNumberFormat="1" applyFont="1" applyFill="1"/>
    <xf numFmtId="164" fontId="29" fillId="0" borderId="14" xfId="1" applyNumberFormat="1" applyFont="1" applyFill="1" applyBorder="1" applyAlignment="1">
      <alignment horizontal="center" vertical="center" wrapText="1" readingOrder="2"/>
    </xf>
    <xf numFmtId="164" fontId="21" fillId="0" borderId="0" xfId="1" applyNumberFormat="1" applyFont="1" applyFill="1" applyAlignment="1">
      <alignment vertical="center" wrapText="1"/>
    </xf>
    <xf numFmtId="164" fontId="21" fillId="0" borderId="3" xfId="1" applyNumberFormat="1" applyFont="1" applyFill="1" applyBorder="1" applyAlignment="1">
      <alignment vertical="center" wrapText="1"/>
    </xf>
    <xf numFmtId="165" fontId="11" fillId="0" borderId="1" xfId="1" applyNumberFormat="1" applyFont="1" applyFill="1" applyBorder="1" applyAlignment="1">
      <alignment horizontal="center" vertical="center"/>
    </xf>
    <xf numFmtId="165" fontId="11" fillId="0" borderId="1" xfId="1" applyNumberFormat="1" applyFont="1" applyFill="1" applyBorder="1" applyAlignment="1">
      <alignment horizontal="center" vertical="center" wrapText="1"/>
    </xf>
    <xf numFmtId="9" fontId="11" fillId="0" borderId="0" xfId="2" applyFont="1" applyFill="1" applyAlignment="1">
      <alignment horizontal="center" vertical="center"/>
    </xf>
    <xf numFmtId="165" fontId="11" fillId="0" borderId="0" xfId="1" applyNumberFormat="1" applyFont="1" applyFill="1" applyBorder="1" applyAlignment="1">
      <alignment horizontal="center" vertical="center"/>
    </xf>
    <xf numFmtId="165" fontId="11" fillId="0" borderId="0" xfId="1" applyNumberFormat="1" applyFont="1" applyFill="1" applyBorder="1" applyAlignment="1">
      <alignment horizontal="center" vertical="center" wrapText="1"/>
    </xf>
    <xf numFmtId="164" fontId="7" fillId="0" borderId="0" xfId="1" applyNumberFormat="1" applyFont="1" applyFill="1" applyAlignment="1">
      <alignment horizontal="right" vertical="center"/>
    </xf>
    <xf numFmtId="164" fontId="21" fillId="0" borderId="0" xfId="1" applyNumberFormat="1" applyFont="1" applyFill="1" applyBorder="1" applyAlignment="1">
      <alignment vertical="center" wrapText="1"/>
    </xf>
    <xf numFmtId="164" fontId="13" fillId="0" borderId="0" xfId="1" applyNumberFormat="1" applyFont="1" applyFill="1" applyAlignment="1">
      <alignment horizontal="center"/>
    </xf>
    <xf numFmtId="164" fontId="10" fillId="0" borderId="0" xfId="1" applyNumberFormat="1" applyFont="1" applyFill="1" applyAlignment="1"/>
    <xf numFmtId="166" fontId="45" fillId="0" borderId="0" xfId="1" applyNumberFormat="1" applyFont="1" applyFill="1" applyAlignment="1">
      <alignment horizontal="left" vertical="center" wrapText="1" shrinkToFit="1"/>
    </xf>
    <xf numFmtId="164" fontId="45" fillId="0" borderId="0" xfId="1" applyNumberFormat="1" applyFont="1" applyFill="1" applyAlignment="1">
      <alignment horizontal="left" vertical="center" wrapText="1" shrinkToFit="1"/>
    </xf>
    <xf numFmtId="167" fontId="45" fillId="0" borderId="0" xfId="1" applyNumberFormat="1" applyFont="1" applyFill="1" applyAlignment="1">
      <alignment horizontal="left" vertical="center" wrapText="1" shrinkToFit="1"/>
    </xf>
    <xf numFmtId="164" fontId="43" fillId="0" borderId="0" xfId="1" applyNumberFormat="1" applyFont="1" applyFill="1" applyAlignment="1">
      <alignment vertical="center"/>
    </xf>
    <xf numFmtId="164" fontId="0" fillId="0" borderId="0" xfId="1" applyNumberFormat="1" applyFont="1" applyFill="1"/>
    <xf numFmtId="164" fontId="11" fillId="0" borderId="8" xfId="1" applyNumberFormat="1" applyFont="1" applyFill="1" applyBorder="1" applyAlignment="1">
      <alignment vertical="center"/>
    </xf>
    <xf numFmtId="9" fontId="38" fillId="0" borderId="2" xfId="2" applyFont="1" applyFill="1" applyBorder="1" applyAlignment="1">
      <alignment horizontal="center" vertical="center" wrapText="1" readingOrder="2"/>
    </xf>
    <xf numFmtId="164" fontId="10" fillId="0" borderId="0" xfId="1" applyNumberFormat="1" applyFont="1" applyFill="1" applyAlignment="1">
      <alignment horizontal="center" vertical="center" wrapText="1" readingOrder="2"/>
    </xf>
    <xf numFmtId="164" fontId="9" fillId="0" borderId="0" xfId="1" applyNumberFormat="1" applyFont="1" applyFill="1" applyAlignment="1">
      <alignment horizontal="center" vertical="center"/>
    </xf>
    <xf numFmtId="41" fontId="11" fillId="0" borderId="0" xfId="1" applyNumberFormat="1" applyFont="1" applyFill="1" applyBorder="1" applyAlignment="1">
      <alignment horizontal="center" vertical="center"/>
    </xf>
    <xf numFmtId="170" fontId="55" fillId="0" borderId="0" xfId="1" applyNumberFormat="1" applyFont="1" applyFill="1" applyAlignment="1">
      <alignment vertical="center"/>
    </xf>
    <xf numFmtId="165" fontId="22" fillId="0" borderId="0" xfId="1" applyNumberFormat="1" applyFont="1" applyFill="1" applyBorder="1" applyAlignment="1">
      <alignment horizontal="center" vertical="center"/>
    </xf>
    <xf numFmtId="10" fontId="14" fillId="0" borderId="0" xfId="0" applyNumberFormat="1" applyFont="1" applyAlignment="1">
      <alignment horizontal="center" vertical="center"/>
    </xf>
    <xf numFmtId="0" fontId="11" fillId="0" borderId="0" xfId="0" applyFont="1"/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 readingOrder="2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 readingOrder="2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 readingOrder="2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/>
    <xf numFmtId="0" fontId="43" fillId="0" borderId="0" xfId="0" applyFont="1"/>
    <xf numFmtId="37" fontId="42" fillId="0" borderId="0" xfId="0" applyNumberFormat="1" applyFont="1" applyAlignment="1">
      <alignment horizontal="right" vertical="center"/>
    </xf>
    <xf numFmtId="0" fontId="43" fillId="0" borderId="3" xfId="0" applyFont="1" applyBorder="1"/>
    <xf numFmtId="168" fontId="44" fillId="0" borderId="0" xfId="0" applyNumberFormat="1" applyFont="1" applyAlignment="1">
      <alignment horizontal="center" vertical="center" wrapText="1" shrinkToFit="1"/>
    </xf>
    <xf numFmtId="0" fontId="45" fillId="0" borderId="0" xfId="0" applyFont="1"/>
    <xf numFmtId="164" fontId="43" fillId="0" borderId="0" xfId="0" applyNumberFormat="1" applyFont="1" applyAlignment="1">
      <alignment vertical="center"/>
    </xf>
    <xf numFmtId="164" fontId="44" fillId="0" borderId="0" xfId="0" applyNumberFormat="1" applyFont="1" applyAlignment="1">
      <alignment horizontal="left" vertical="center" wrapText="1" shrinkToFit="1"/>
    </xf>
    <xf numFmtId="164" fontId="0" fillId="0" borderId="0" xfId="0" applyNumberFormat="1"/>
    <xf numFmtId="0" fontId="0" fillId="0" borderId="0" xfId="0" applyAlignment="1">
      <alignment horizontal="right"/>
    </xf>
    <xf numFmtId="3" fontId="41" fillId="0" borderId="0" xfId="0" applyNumberFormat="1" applyFont="1"/>
    <xf numFmtId="0" fontId="17" fillId="0" borderId="0" xfId="0" applyFont="1"/>
    <xf numFmtId="0" fontId="21" fillId="0" borderId="0" xfId="0" applyFont="1"/>
    <xf numFmtId="0" fontId="21" fillId="0" borderId="1" xfId="0" applyFont="1" applyBorder="1"/>
    <xf numFmtId="0" fontId="19" fillId="0" borderId="0" xfId="0" applyFont="1" applyAlignment="1">
      <alignment horizontal="center" vertical="center" wrapText="1" readingOrder="2"/>
    </xf>
    <xf numFmtId="0" fontId="19" fillId="0" borderId="0" xfId="0" applyFont="1" applyAlignment="1">
      <alignment vertical="center" wrapText="1" readingOrder="2"/>
    </xf>
    <xf numFmtId="0" fontId="21" fillId="0" borderId="0" xfId="0" applyFont="1" applyAlignment="1">
      <alignment vertical="center" wrapText="1"/>
    </xf>
    <xf numFmtId="0" fontId="54" fillId="0" borderId="0" xfId="0" applyFont="1"/>
    <xf numFmtId="0" fontId="21" fillId="0" borderId="0" xfId="0" applyFont="1" applyAlignment="1">
      <alignment vertical="center" wrapText="1" readingOrder="2"/>
    </xf>
    <xf numFmtId="0" fontId="21" fillId="0" borderId="0" xfId="0" applyFont="1" applyAlignment="1">
      <alignment horizontal="center"/>
    </xf>
    <xf numFmtId="37" fontId="14" fillId="0" borderId="0" xfId="0" applyNumberFormat="1" applyFont="1" applyAlignment="1">
      <alignment horizontal="right" vertical="center" wrapText="1"/>
    </xf>
    <xf numFmtId="164" fontId="21" fillId="0" borderId="0" xfId="0" applyNumberFormat="1" applyFont="1"/>
    <xf numFmtId="0" fontId="20" fillId="0" borderId="0" xfId="0" applyFont="1" applyAlignment="1">
      <alignment horizontal="right" vertical="center" readingOrder="2"/>
    </xf>
    <xf numFmtId="0" fontId="20" fillId="0" borderId="0" xfId="0" applyFont="1" applyAlignment="1">
      <alignment vertical="center" readingOrder="2"/>
    </xf>
    <xf numFmtId="38" fontId="15" fillId="0" borderId="0" xfId="0" applyNumberFormat="1" applyFont="1"/>
    <xf numFmtId="0" fontId="21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/>
    </xf>
    <xf numFmtId="164" fontId="21" fillId="0" borderId="1" xfId="1" applyNumberFormat="1" applyFont="1" applyFill="1" applyBorder="1" applyAlignment="1">
      <alignment horizontal="center"/>
    </xf>
    <xf numFmtId="0" fontId="19" fillId="0" borderId="0" xfId="0" applyFont="1" applyAlignment="1">
      <alignment horizontal="right" vertical="center" readingOrder="2"/>
    </xf>
    <xf numFmtId="49" fontId="21" fillId="0" borderId="0" xfId="0" applyNumberFormat="1" applyFont="1" applyAlignment="1">
      <alignment horizontal="center" vertical="center" readingOrder="2"/>
    </xf>
    <xf numFmtId="164" fontId="19" fillId="0" borderId="0" xfId="1" applyNumberFormat="1" applyFont="1" applyFill="1" applyAlignment="1">
      <alignment horizontal="right" vertical="center" readingOrder="2"/>
    </xf>
    <xf numFmtId="0" fontId="19" fillId="0" borderId="0" xfId="0" applyFont="1" applyAlignment="1">
      <alignment horizontal="center" vertical="center" readingOrder="2"/>
    </xf>
    <xf numFmtId="164" fontId="48" fillId="0" borderId="0" xfId="0" applyNumberFormat="1" applyFont="1" applyAlignment="1">
      <alignment vertical="center" wrapText="1" shrinkToFit="1"/>
    </xf>
    <xf numFmtId="0" fontId="21" fillId="0" borderId="0" xfId="0" applyFont="1" applyAlignment="1">
      <alignment horizontal="right" vertical="center"/>
    </xf>
    <xf numFmtId="38" fontId="19" fillId="0" borderId="10" xfId="0" applyNumberFormat="1" applyFont="1" applyBorder="1" applyAlignment="1">
      <alignment horizontal="right" vertical="center" readingOrder="2"/>
    </xf>
    <xf numFmtId="0" fontId="15" fillId="0" borderId="0" xfId="0" applyFont="1" applyAlignment="1">
      <alignment horizontal="right" vertical="center"/>
    </xf>
    <xf numFmtId="3" fontId="50" fillId="0" borderId="0" xfId="0" applyNumberFormat="1" applyFont="1"/>
    <xf numFmtId="164" fontId="15" fillId="0" borderId="0" xfId="1" applyNumberFormat="1" applyFont="1" applyFill="1" applyAlignment="1"/>
    <xf numFmtId="164" fontId="15" fillId="0" borderId="0" xfId="0" applyNumberFormat="1" applyFont="1"/>
    <xf numFmtId="3" fontId="15" fillId="0" borderId="0" xfId="0" applyNumberFormat="1" applyFont="1"/>
    <xf numFmtId="164" fontId="49" fillId="0" borderId="0" xfId="1" applyNumberFormat="1" applyFont="1" applyFill="1" applyAlignment="1"/>
    <xf numFmtId="164" fontId="35" fillId="0" borderId="0" xfId="0" applyNumberFormat="1" applyFont="1" applyAlignment="1">
      <alignment vertical="center" wrapText="1"/>
    </xf>
    <xf numFmtId="0" fontId="16" fillId="0" borderId="0" xfId="0" applyFont="1"/>
    <xf numFmtId="0" fontId="16" fillId="0" borderId="0" xfId="0" applyFont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164" fontId="11" fillId="0" borderId="0" xfId="0" applyNumberFormat="1" applyFont="1"/>
    <xf numFmtId="37" fontId="27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29" fillId="0" borderId="1" xfId="0" applyFont="1" applyBorder="1" applyAlignment="1">
      <alignment horizontal="right" vertical="center" wrapText="1" readingOrder="2"/>
    </xf>
    <xf numFmtId="0" fontId="29" fillId="0" borderId="0" xfId="0" applyFont="1" applyAlignment="1">
      <alignment vertical="center" wrapText="1" readingOrder="2"/>
    </xf>
    <xf numFmtId="0" fontId="29" fillId="0" borderId="0" xfId="0" applyFont="1" applyAlignment="1">
      <alignment horizontal="center" vertical="center" wrapText="1" readingOrder="2"/>
    </xf>
    <xf numFmtId="0" fontId="29" fillId="0" borderId="1" xfId="0" applyFont="1" applyBorder="1" applyAlignment="1">
      <alignment vertical="center" wrapText="1" readingOrder="2"/>
    </xf>
    <xf numFmtId="0" fontId="30" fillId="0" borderId="0" xfId="0" applyFont="1" applyAlignment="1">
      <alignment horizontal="center" vertical="center" wrapText="1" readingOrder="2"/>
    </xf>
    <xf numFmtId="0" fontId="11" fillId="0" borderId="0" xfId="0" applyFont="1" applyAlignment="1">
      <alignment vertical="center" wrapText="1"/>
    </xf>
    <xf numFmtId="0" fontId="29" fillId="0" borderId="14" xfId="0" applyFont="1" applyBorder="1" applyAlignment="1">
      <alignment horizontal="center" vertical="center" wrapText="1" readingOrder="2"/>
    </xf>
    <xf numFmtId="37" fontId="32" fillId="0" borderId="0" xfId="0" applyNumberFormat="1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 readingOrder="2"/>
    </xf>
    <xf numFmtId="0" fontId="19" fillId="0" borderId="0" xfId="0" applyFont="1"/>
    <xf numFmtId="0" fontId="29" fillId="0" borderId="1" xfId="0" applyFont="1" applyBorder="1" applyAlignment="1">
      <alignment horizontal="center" vertical="center" wrapText="1" readingOrder="2"/>
    </xf>
    <xf numFmtId="37" fontId="14" fillId="0" borderId="0" xfId="0" quotePrefix="1" applyNumberFormat="1" applyFont="1" applyAlignment="1">
      <alignment horizontal="center" vertical="center" wrapText="1"/>
    </xf>
    <xf numFmtId="1" fontId="14" fillId="0" borderId="0" xfId="0" applyNumberFormat="1" applyFont="1" applyAlignment="1">
      <alignment horizontal="right" vertical="center"/>
    </xf>
    <xf numFmtId="164" fontId="46" fillId="2" borderId="0" xfId="0" applyNumberFormat="1" applyFont="1" applyFill="1" applyAlignment="1">
      <alignment horizontal="center" vertical="center" wrapText="1"/>
    </xf>
    <xf numFmtId="0" fontId="47" fillId="2" borderId="0" xfId="0" applyFont="1" applyFill="1" applyAlignment="1">
      <alignment horizontal="center" vertical="center" wrapText="1"/>
    </xf>
    <xf numFmtId="164" fontId="48" fillId="2" borderId="0" xfId="0" applyNumberFormat="1" applyFont="1" applyFill="1" applyAlignment="1">
      <alignment vertical="center" wrapText="1" shrinkToFit="1"/>
    </xf>
    <xf numFmtId="164" fontId="11" fillId="0" borderId="0" xfId="1" applyNumberFormat="1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4" fontId="11" fillId="0" borderId="1" xfId="1" applyNumberFormat="1" applyFont="1" applyFill="1" applyBorder="1" applyAlignment="1">
      <alignment horizontal="center" vertical="center" wrapText="1"/>
    </xf>
    <xf numFmtId="164" fontId="11" fillId="0" borderId="1" xfId="1" applyNumberFormat="1" applyFont="1" applyFill="1" applyBorder="1" applyAlignment="1">
      <alignment horizontal="center" vertical="center"/>
    </xf>
    <xf numFmtId="165" fontId="11" fillId="0" borderId="1" xfId="1" applyNumberFormat="1" applyFont="1" applyFill="1" applyBorder="1" applyAlignment="1">
      <alignment horizontal="right" vertical="center" wrapText="1"/>
    </xf>
    <xf numFmtId="164" fontId="11" fillId="0" borderId="15" xfId="1" applyNumberFormat="1" applyFont="1" applyFill="1" applyBorder="1" applyAlignment="1">
      <alignment vertical="center"/>
    </xf>
    <xf numFmtId="3" fontId="11" fillId="0" borderId="0" xfId="0" applyNumberFormat="1" applyFont="1" applyAlignment="1">
      <alignment horizontal="right" vertical="center" indent="1"/>
    </xf>
    <xf numFmtId="0" fontId="53" fillId="0" borderId="1" xfId="0" applyFont="1" applyBorder="1" applyAlignment="1">
      <alignment horizontal="center" vertical="center" wrapText="1" readingOrder="2"/>
    </xf>
    <xf numFmtId="0" fontId="53" fillId="0" borderId="1" xfId="0" applyFont="1" applyBorder="1" applyAlignment="1">
      <alignment vertical="center" wrapText="1" readingOrder="2"/>
    </xf>
    <xf numFmtId="0" fontId="16" fillId="0" borderId="0" xfId="0" applyFont="1" applyAlignment="1">
      <alignment horizontal="center"/>
    </xf>
    <xf numFmtId="164" fontId="15" fillId="2" borderId="0" xfId="1" applyNumberFormat="1" applyFont="1" applyFill="1" applyAlignment="1"/>
    <xf numFmtId="164" fontId="21" fillId="0" borderId="0" xfId="1" applyNumberFormat="1" applyFont="1"/>
    <xf numFmtId="164" fontId="11" fillId="0" borderId="0" xfId="1" applyNumberFormat="1" applyFont="1"/>
    <xf numFmtId="169" fontId="21" fillId="0" borderId="0" xfId="2" applyNumberFormat="1" applyFont="1"/>
    <xf numFmtId="169" fontId="11" fillId="0" borderId="0" xfId="2" applyNumberFormat="1" applyFont="1"/>
    <xf numFmtId="9" fontId="11" fillId="0" borderId="0" xfId="2" applyFont="1"/>
    <xf numFmtId="37" fontId="14" fillId="0" borderId="0" xfId="0" applyNumberFormat="1" applyFont="1" applyAlignment="1">
      <alignment horizontal="center" vertical="center" wrapText="1"/>
    </xf>
    <xf numFmtId="164" fontId="11" fillId="0" borderId="0" xfId="1" applyNumberFormat="1" applyFont="1" applyFill="1" applyBorder="1" applyAlignment="1">
      <alignment horizontal="center" vertical="center"/>
    </xf>
    <xf numFmtId="165" fontId="11" fillId="0" borderId="0" xfId="1" applyNumberFormat="1" applyFont="1" applyFill="1" applyAlignment="1">
      <alignment vertical="center"/>
    </xf>
    <xf numFmtId="169" fontId="21" fillId="0" borderId="0" xfId="0" applyNumberFormat="1" applyFont="1"/>
    <xf numFmtId="165" fontId="21" fillId="0" borderId="1" xfId="1" applyNumberFormat="1" applyFont="1" applyFill="1" applyBorder="1" applyAlignment="1">
      <alignment horizontal="center" vertical="center" wrapText="1"/>
    </xf>
    <xf numFmtId="3" fontId="13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/>
    </xf>
    <xf numFmtId="3" fontId="21" fillId="0" borderId="0" xfId="0" applyNumberFormat="1" applyFont="1"/>
    <xf numFmtId="37" fontId="34" fillId="0" borderId="0" xfId="0" quotePrefix="1" applyNumberFormat="1" applyFont="1" applyAlignment="1">
      <alignment horizontal="right" vertical="center" wrapText="1"/>
    </xf>
    <xf numFmtId="9" fontId="21" fillId="0" borderId="0" xfId="0" applyNumberFormat="1" applyFont="1"/>
    <xf numFmtId="164" fontId="21" fillId="0" borderId="0" xfId="1" applyNumberFormat="1" applyFont="1" applyFill="1" applyAlignment="1">
      <alignment horizontal="right" vertical="center"/>
    </xf>
    <xf numFmtId="169" fontId="19" fillId="0" borderId="0" xfId="2" applyNumberFormat="1" applyFont="1" applyFill="1" applyAlignment="1">
      <alignment horizontal="center" vertical="center" wrapText="1" shrinkToFit="1" readingOrder="2"/>
    </xf>
    <xf numFmtId="169" fontId="19" fillId="0" borderId="0" xfId="2" applyNumberFormat="1" applyFont="1" applyAlignment="1">
      <alignment horizontal="center" vertical="center" wrapText="1" readingOrder="2"/>
    </xf>
    <xf numFmtId="169" fontId="19" fillId="0" borderId="2" xfId="2" applyNumberFormat="1" applyFont="1" applyBorder="1" applyAlignment="1">
      <alignment horizontal="center" vertical="center" readingOrder="2"/>
    </xf>
    <xf numFmtId="169" fontId="19" fillId="0" borderId="0" xfId="2" applyNumberFormat="1" applyFont="1" applyAlignment="1">
      <alignment horizontal="center" vertical="center" readingOrder="2"/>
    </xf>
    <xf numFmtId="169" fontId="19" fillId="0" borderId="3" xfId="2" applyNumberFormat="1" applyFont="1" applyBorder="1" applyAlignment="1">
      <alignment horizontal="center" vertical="center" readingOrder="2"/>
    </xf>
    <xf numFmtId="3" fontId="59" fillId="0" borderId="0" xfId="0" applyNumberFormat="1" applyFont="1"/>
    <xf numFmtId="9" fontId="7" fillId="0" borderId="0" xfId="2" applyFont="1" applyFill="1" applyAlignment="1">
      <alignment horizontal="center" vertical="center"/>
    </xf>
    <xf numFmtId="169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right" vertical="center" readingOrder="2"/>
    </xf>
    <xf numFmtId="0" fontId="13" fillId="0" borderId="0" xfId="0" applyFont="1" applyAlignment="1">
      <alignment horizontal="right" vertical="center"/>
    </xf>
    <xf numFmtId="37" fontId="42" fillId="0" borderId="14" xfId="0" applyNumberFormat="1" applyFont="1" applyBorder="1" applyAlignment="1">
      <alignment horizontal="center" vertical="center" wrapText="1"/>
    </xf>
    <xf numFmtId="164" fontId="44" fillId="0" borderId="0" xfId="0" applyNumberFormat="1" applyFont="1" applyAlignment="1">
      <alignment horizontal="center" vertical="center" wrapText="1" shrinkToFit="1"/>
    </xf>
    <xf numFmtId="10" fontId="44" fillId="0" borderId="0" xfId="2" applyNumberFormat="1" applyFont="1" applyAlignment="1">
      <alignment horizontal="center" vertical="center" wrapText="1" shrinkToFit="1"/>
    </xf>
    <xf numFmtId="171" fontId="0" fillId="0" borderId="0" xfId="1" applyNumberFormat="1" applyFont="1" applyFill="1"/>
    <xf numFmtId="170" fontId="0" fillId="0" borderId="0" xfId="1" applyNumberFormat="1" applyFont="1" applyFill="1"/>
    <xf numFmtId="9" fontId="7" fillId="0" borderId="2" xfId="2" applyFont="1" applyFill="1" applyBorder="1" applyAlignment="1">
      <alignment horizontal="center" vertical="center" readingOrder="2"/>
    </xf>
    <xf numFmtId="0" fontId="35" fillId="0" borderId="0" xfId="0" applyFont="1" applyAlignment="1">
      <alignment horizontal="center" vertical="center"/>
    </xf>
    <xf numFmtId="0" fontId="35" fillId="0" borderId="0" xfId="0" applyFont="1"/>
    <xf numFmtId="0" fontId="17" fillId="0" borderId="16" xfId="0" applyFont="1" applyBorder="1" applyAlignment="1">
      <alignment horizontal="center" vertical="center" wrapText="1" readingOrder="2"/>
    </xf>
    <xf numFmtId="0" fontId="61" fillId="0" borderId="16" xfId="0" applyFont="1" applyBorder="1" applyAlignment="1">
      <alignment horizontal="center" vertical="center" wrapText="1" readingOrder="2"/>
    </xf>
    <xf numFmtId="0" fontId="15" fillId="0" borderId="16" xfId="0" applyFont="1" applyBorder="1" applyAlignment="1">
      <alignment horizontal="center" vertical="center" wrapText="1" readingOrder="2"/>
    </xf>
    <xf numFmtId="0" fontId="62" fillId="0" borderId="16" xfId="0" applyFont="1" applyBorder="1" applyAlignment="1">
      <alignment horizontal="center" vertical="center" wrapText="1" readingOrder="2"/>
    </xf>
    <xf numFmtId="0" fontId="63" fillId="0" borderId="16" xfId="0" applyFont="1" applyBorder="1" applyAlignment="1">
      <alignment horizontal="center" vertical="center" wrapText="1" readingOrder="2"/>
    </xf>
    <xf numFmtId="0" fontId="21" fillId="3" borderId="0" xfId="0" applyFont="1" applyFill="1"/>
    <xf numFmtId="3" fontId="35" fillId="0" borderId="0" xfId="0" applyNumberFormat="1" applyFont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3" fontId="58" fillId="0" borderId="0" xfId="0" applyNumberFormat="1" applyFont="1" applyAlignment="1">
      <alignment vertical="center"/>
    </xf>
    <xf numFmtId="3" fontId="50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3" fontId="36" fillId="0" borderId="0" xfId="0" applyNumberFormat="1" applyFont="1" applyAlignment="1">
      <alignment vertical="center"/>
    </xf>
    <xf numFmtId="37" fontId="28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37" fontId="65" fillId="0" borderId="0" xfId="0" applyNumberFormat="1" applyFont="1" applyAlignment="1">
      <alignment horizontal="center" vertical="center"/>
    </xf>
    <xf numFmtId="0" fontId="22" fillId="0" borderId="0" xfId="0" applyFont="1"/>
    <xf numFmtId="9" fontId="22" fillId="0" borderId="0" xfId="2" applyFont="1" applyFill="1" applyAlignment="1">
      <alignment horizontal="center" vertical="center"/>
    </xf>
    <xf numFmtId="164" fontId="22" fillId="0" borderId="8" xfId="1" applyNumberFormat="1" applyFont="1" applyFill="1" applyBorder="1" applyAlignment="1">
      <alignment vertical="center"/>
    </xf>
    <xf numFmtId="164" fontId="22" fillId="0" borderId="0" xfId="1" applyNumberFormat="1" applyFont="1" applyFill="1" applyAlignment="1">
      <alignment vertical="center"/>
    </xf>
    <xf numFmtId="37" fontId="21" fillId="0" borderId="0" xfId="0" applyNumberFormat="1" applyFont="1"/>
    <xf numFmtId="0" fontId="19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3" fontId="15" fillId="0" borderId="0" xfId="0" applyNumberFormat="1" applyFont="1" applyAlignment="1">
      <alignment horizontal="right" vertical="center"/>
    </xf>
    <xf numFmtId="164" fontId="16" fillId="0" borderId="0" xfId="1" applyNumberFormat="1" applyFont="1" applyFill="1" applyBorder="1" applyAlignment="1">
      <alignment horizontal="center" vertical="center" wrapText="1"/>
    </xf>
    <xf numFmtId="164" fontId="10" fillId="0" borderId="0" xfId="1" applyNumberFormat="1" applyFont="1" applyAlignment="1">
      <alignment horizontal="center"/>
    </xf>
    <xf numFmtId="0" fontId="16" fillId="0" borderId="1" xfId="0" applyFont="1" applyBorder="1" applyAlignment="1">
      <alignment horizontal="center"/>
    </xf>
    <xf numFmtId="164" fontId="63" fillId="0" borderId="16" xfId="1" applyNumberFormat="1" applyFont="1" applyBorder="1" applyAlignment="1">
      <alignment horizontal="center" vertical="center" wrapText="1" readingOrder="2"/>
    </xf>
    <xf numFmtId="9" fontId="63" fillId="0" borderId="16" xfId="0" applyNumberFormat="1" applyFont="1" applyBorder="1" applyAlignment="1">
      <alignment horizontal="center" vertical="center" wrapText="1" readingOrder="2"/>
    </xf>
    <xf numFmtId="0" fontId="23" fillId="0" borderId="0" xfId="0" applyFont="1" applyAlignment="1">
      <alignment horizontal="right" vertical="center" wrapText="1" readingOrder="2"/>
    </xf>
    <xf numFmtId="164" fontId="21" fillId="0" borderId="0" xfId="1" applyNumberFormat="1" applyFont="1" applyFill="1" applyBorder="1" applyAlignment="1">
      <alignment horizontal="center" vertical="center" readingOrder="2"/>
    </xf>
    <xf numFmtId="10" fontId="21" fillId="0" borderId="2" xfId="1" applyNumberFormat="1" applyFont="1" applyFill="1" applyBorder="1" applyAlignment="1">
      <alignment horizontal="center" vertical="center" readingOrder="2"/>
    </xf>
    <xf numFmtId="164" fontId="22" fillId="0" borderId="8" xfId="1" applyNumberFormat="1" applyFont="1" applyFill="1" applyBorder="1" applyAlignment="1">
      <alignment horizontal="center" vertical="center"/>
    </xf>
    <xf numFmtId="164" fontId="19" fillId="0" borderId="8" xfId="1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22" fillId="0" borderId="0" xfId="0" applyFont="1" applyAlignment="1">
      <alignment horizontal="center"/>
    </xf>
    <xf numFmtId="164" fontId="22" fillId="0" borderId="0" xfId="0" applyNumberFormat="1" applyFont="1" applyAlignment="1">
      <alignment horizontal="center" vertical="center"/>
    </xf>
    <xf numFmtId="3" fontId="11" fillId="0" borderId="15" xfId="0" applyNumberFormat="1" applyFont="1" applyBorder="1" applyAlignment="1">
      <alignment horizontal="right" vertical="center" indent="1"/>
    </xf>
    <xf numFmtId="0" fontId="15" fillId="0" borderId="0" xfId="0" applyFont="1" applyAlignment="1">
      <alignment wrapText="1"/>
    </xf>
    <xf numFmtId="164" fontId="22" fillId="0" borderId="0" xfId="1" applyNumberFormat="1" applyFont="1" applyFill="1" applyBorder="1" applyAlignment="1">
      <alignment vertical="center"/>
    </xf>
    <xf numFmtId="49" fontId="14" fillId="0" borderId="0" xfId="0" applyNumberFormat="1" applyFont="1" applyAlignment="1">
      <alignment horizontal="right" vertical="center"/>
    </xf>
    <xf numFmtId="164" fontId="44" fillId="0" borderId="0" xfId="0" applyNumberFormat="1" applyFont="1" applyAlignment="1">
      <alignment horizontal="center" wrapText="1" shrinkToFit="1"/>
    </xf>
    <xf numFmtId="0" fontId="35" fillId="2" borderId="19" xfId="0" applyFont="1" applyFill="1" applyBorder="1" applyAlignment="1">
      <alignment horizontal="right" vertical="center" readingOrder="2"/>
    </xf>
    <xf numFmtId="0" fontId="35" fillId="2" borderId="17" xfId="0" applyFont="1" applyFill="1" applyBorder="1" applyAlignment="1">
      <alignment horizontal="right" vertical="center" readingOrder="2"/>
    </xf>
    <xf numFmtId="38" fontId="19" fillId="0" borderId="18" xfId="1" applyNumberFormat="1" applyFont="1" applyFill="1" applyBorder="1" applyAlignment="1">
      <alignment horizontal="right" vertical="center" readingOrder="2"/>
    </xf>
    <xf numFmtId="164" fontId="19" fillId="0" borderId="0" xfId="1" applyNumberFormat="1" applyFont="1" applyFill="1" applyAlignment="1">
      <alignment vertical="center"/>
    </xf>
    <xf numFmtId="164" fontId="22" fillId="0" borderId="8" xfId="1" applyNumberFormat="1" applyFont="1" applyFill="1" applyBorder="1" applyAlignment="1">
      <alignment horizontal="left" vertical="center"/>
    </xf>
    <xf numFmtId="37" fontId="42" fillId="0" borderId="0" xfId="0" applyNumberFormat="1" applyFont="1" applyAlignment="1">
      <alignment horizontal="center" vertical="center" wrapText="1"/>
    </xf>
    <xf numFmtId="37" fontId="42" fillId="0" borderId="20" xfId="0" applyNumberFormat="1" applyFont="1" applyBorder="1" applyAlignment="1">
      <alignment horizontal="center" vertical="center"/>
    </xf>
    <xf numFmtId="164" fontId="44" fillId="0" borderId="0" xfId="1" applyNumberFormat="1" applyFont="1" applyAlignment="1">
      <alignment horizontal="center" vertical="center" wrapText="1" shrinkToFit="1"/>
    </xf>
    <xf numFmtId="164" fontId="19" fillId="0" borderId="1" xfId="1" applyNumberFormat="1" applyFont="1" applyFill="1" applyBorder="1" applyAlignment="1">
      <alignment horizontal="right" vertical="center" readingOrder="2"/>
    </xf>
    <xf numFmtId="0" fontId="3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 readingOrder="2"/>
    </xf>
    <xf numFmtId="0" fontId="7" fillId="0" borderId="1" xfId="0" applyFont="1" applyBorder="1" applyAlignment="1">
      <alignment horizontal="center" vertical="center" wrapText="1" readingOrder="2"/>
    </xf>
    <xf numFmtId="164" fontId="7" fillId="0" borderId="0" xfId="1" applyNumberFormat="1" applyFont="1" applyAlignment="1">
      <alignment horizontal="center" vertical="center"/>
    </xf>
    <xf numFmtId="164" fontId="7" fillId="0" borderId="0" xfId="1" applyNumberFormat="1" applyFont="1" applyBorder="1" applyAlignment="1">
      <alignment horizontal="center" vertical="center" wrapText="1" readingOrder="2"/>
    </xf>
    <xf numFmtId="164" fontId="7" fillId="0" borderId="3" xfId="1" applyNumberFormat="1" applyFont="1" applyBorder="1" applyAlignment="1">
      <alignment horizontal="center" vertical="center" readingOrder="2"/>
    </xf>
    <xf numFmtId="164" fontId="7" fillId="0" borderId="1" xfId="1" applyNumberFormat="1" applyFont="1" applyBorder="1" applyAlignment="1">
      <alignment horizontal="center" vertical="center" readingOrder="2"/>
    </xf>
    <xf numFmtId="164" fontId="7" fillId="0" borderId="0" xfId="1" applyNumberFormat="1" applyFont="1" applyBorder="1" applyAlignment="1">
      <alignment horizontal="center" vertical="center" readingOrder="2"/>
    </xf>
    <xf numFmtId="164" fontId="7" fillId="0" borderId="0" xfId="1" applyNumberFormat="1" applyFont="1" applyAlignment="1">
      <alignment horizontal="center" vertical="center" wrapText="1" readingOrder="2"/>
    </xf>
    <xf numFmtId="0" fontId="8" fillId="0" borderId="0" xfId="0" applyFont="1" applyAlignment="1">
      <alignment horizontal="right" vertical="center" readingOrder="2"/>
    </xf>
    <xf numFmtId="164" fontId="7" fillId="0" borderId="1" xfId="1" applyNumberFormat="1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 wrapText="1" readingOrder="2"/>
    </xf>
    <xf numFmtId="0" fontId="6" fillId="0" borderId="1" xfId="0" applyFont="1" applyBorder="1" applyAlignment="1">
      <alignment horizontal="center" vertical="center" wrapText="1" readingOrder="2"/>
    </xf>
    <xf numFmtId="164" fontId="7" fillId="0" borderId="3" xfId="1" applyNumberFormat="1" applyFont="1" applyBorder="1" applyAlignment="1">
      <alignment horizontal="center" vertical="center" wrapText="1" readingOrder="2"/>
    </xf>
    <xf numFmtId="164" fontId="7" fillId="0" borderId="1" xfId="1" applyNumberFormat="1" applyFont="1" applyBorder="1" applyAlignment="1">
      <alignment horizontal="center" vertical="center" wrapText="1" readingOrder="2"/>
    </xf>
    <xf numFmtId="10" fontId="7" fillId="0" borderId="3" xfId="2" applyNumberFormat="1" applyFont="1" applyBorder="1" applyAlignment="1">
      <alignment horizontal="center" vertical="center" wrapText="1" readingOrder="2"/>
    </xf>
    <xf numFmtId="10" fontId="7" fillId="0" borderId="1" xfId="2" applyNumberFormat="1" applyFont="1" applyBorder="1" applyAlignment="1">
      <alignment horizontal="center" vertical="center" wrapText="1" readingOrder="2"/>
    </xf>
    <xf numFmtId="0" fontId="10" fillId="0" borderId="0" xfId="0" applyFont="1" applyAlignment="1">
      <alignment horizontal="center" vertical="center"/>
    </xf>
    <xf numFmtId="0" fontId="57" fillId="0" borderId="0" xfId="0" applyFont="1" applyAlignment="1">
      <alignment horizontal="right" vertical="center" readingOrder="2"/>
    </xf>
    <xf numFmtId="0" fontId="10" fillId="0" borderId="1" xfId="0" applyFont="1" applyBorder="1" applyAlignment="1">
      <alignment horizontal="center" vertical="center" wrapText="1" readingOrder="2"/>
    </xf>
    <xf numFmtId="0" fontId="10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 wrapText="1" readingOrder="2"/>
    </xf>
    <xf numFmtId="0" fontId="10" fillId="0" borderId="0" xfId="0" applyFont="1" applyAlignment="1">
      <alignment horizontal="center" vertical="center" wrapText="1" readingOrder="2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3" xfId="0" applyFont="1" applyBorder="1" applyAlignment="1">
      <alignment horizontal="center" vertical="center" readingOrder="2"/>
    </xf>
    <xf numFmtId="0" fontId="10" fillId="0" borderId="1" xfId="0" applyFont="1" applyBorder="1" applyAlignment="1">
      <alignment horizontal="center" vertical="center" readingOrder="2"/>
    </xf>
    <xf numFmtId="0" fontId="10" fillId="0" borderId="0" xfId="0" applyFont="1" applyAlignment="1">
      <alignment horizontal="center"/>
    </xf>
    <xf numFmtId="37" fontId="42" fillId="0" borderId="0" xfId="0" applyNumberFormat="1" applyFont="1" applyAlignment="1">
      <alignment horizontal="right" vertical="center"/>
    </xf>
    <xf numFmtId="0" fontId="43" fillId="0" borderId="0" xfId="0" applyFont="1"/>
    <xf numFmtId="0" fontId="53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21" fillId="0" borderId="3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horizontal="right" vertical="center" readingOrder="2"/>
    </xf>
    <xf numFmtId="0" fontId="21" fillId="0" borderId="3" xfId="0" applyFont="1" applyBorder="1" applyAlignment="1">
      <alignment horizontal="center" vertical="center" readingOrder="2"/>
    </xf>
    <xf numFmtId="0" fontId="21" fillId="0" borderId="1" xfId="0" applyFont="1" applyBorder="1" applyAlignment="1">
      <alignment horizontal="center" vertical="center" readingOrder="2"/>
    </xf>
    <xf numFmtId="0" fontId="21" fillId="0" borderId="0" xfId="0" applyFont="1" applyAlignment="1">
      <alignment horizontal="center" vertical="center" wrapText="1" readingOrder="2"/>
    </xf>
    <xf numFmtId="0" fontId="21" fillId="0" borderId="1" xfId="0" applyFont="1" applyBorder="1" applyAlignment="1">
      <alignment horizontal="center" vertical="center" wrapText="1" readingOrder="2"/>
    </xf>
    <xf numFmtId="164" fontId="21" fillId="0" borderId="0" xfId="1" applyNumberFormat="1" applyFont="1" applyFill="1" applyBorder="1" applyAlignment="1">
      <alignment horizontal="center" vertical="center" readingOrder="2"/>
    </xf>
    <xf numFmtId="164" fontId="21" fillId="0" borderId="1" xfId="1" applyNumberFormat="1" applyFont="1" applyFill="1" applyBorder="1" applyAlignment="1">
      <alignment horizontal="center" vertical="center" readingOrder="2"/>
    </xf>
    <xf numFmtId="0" fontId="21" fillId="0" borderId="3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 readingOrder="2"/>
    </xf>
    <xf numFmtId="0" fontId="18" fillId="0" borderId="0" xfId="0" applyFont="1" applyAlignment="1">
      <alignment horizontal="center" vertical="center"/>
    </xf>
    <xf numFmtId="164" fontId="24" fillId="0" borderId="3" xfId="1" applyNumberFormat="1" applyFont="1" applyBorder="1" applyAlignment="1">
      <alignment horizontal="center" vertical="center" wrapText="1" readingOrder="2"/>
    </xf>
    <xf numFmtId="164" fontId="24" fillId="0" borderId="0" xfId="1" applyNumberFormat="1" applyFont="1" applyBorder="1" applyAlignment="1">
      <alignment horizontal="center" vertical="center" wrapText="1" readingOrder="2"/>
    </xf>
    <xf numFmtId="165" fontId="24" fillId="0" borderId="3" xfId="1" applyNumberFormat="1" applyFont="1" applyBorder="1" applyAlignment="1">
      <alignment horizontal="center" vertical="center" wrapText="1" readingOrder="2"/>
    </xf>
    <xf numFmtId="165" fontId="24" fillId="0" borderId="0" xfId="1" applyNumberFormat="1" applyFont="1" applyBorder="1" applyAlignment="1">
      <alignment horizontal="center" vertical="center" wrapText="1" readingOrder="2"/>
    </xf>
    <xf numFmtId="0" fontId="24" fillId="0" borderId="3" xfId="0" applyFont="1" applyBorder="1" applyAlignment="1">
      <alignment horizontal="center" vertical="center" wrapText="1" readingOrder="2"/>
    </xf>
    <xf numFmtId="0" fontId="24" fillId="0" borderId="1" xfId="0" applyFont="1" applyBorder="1" applyAlignment="1">
      <alignment horizontal="center" vertical="center" wrapText="1" readingOrder="2"/>
    </xf>
    <xf numFmtId="164" fontId="16" fillId="0" borderId="3" xfId="1" applyNumberFormat="1" applyFont="1" applyBorder="1" applyAlignment="1">
      <alignment horizontal="center" vertical="center" wrapText="1"/>
    </xf>
    <xf numFmtId="164" fontId="16" fillId="0" borderId="0" xfId="1" applyNumberFormat="1" applyFont="1" applyBorder="1" applyAlignment="1">
      <alignment horizontal="center" vertical="center" wrapText="1"/>
    </xf>
    <xf numFmtId="164" fontId="16" fillId="0" borderId="0" xfId="1" applyNumberFormat="1" applyFont="1" applyAlignment="1">
      <alignment horizontal="center" vertical="center" wrapText="1"/>
    </xf>
    <xf numFmtId="165" fontId="16" fillId="0" borderId="3" xfId="1" applyNumberFormat="1" applyFont="1" applyBorder="1" applyAlignment="1">
      <alignment horizontal="center" vertical="center" wrapText="1"/>
    </xf>
    <xf numFmtId="165" fontId="16" fillId="0" borderId="0" xfId="1" applyNumberFormat="1" applyFont="1" applyBorder="1" applyAlignment="1">
      <alignment horizontal="center" vertical="center" wrapText="1"/>
    </xf>
    <xf numFmtId="165" fontId="16" fillId="0" borderId="0" xfId="1" applyNumberFormat="1" applyFont="1" applyAlignment="1">
      <alignment horizontal="center" vertical="center" wrapText="1"/>
    </xf>
    <xf numFmtId="165" fontId="16" fillId="0" borderId="3" xfId="0" applyNumberFormat="1" applyFont="1" applyBorder="1" applyAlignment="1">
      <alignment horizontal="center" vertical="center" wrapText="1"/>
    </xf>
    <xf numFmtId="165" fontId="16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9" fillId="0" borderId="3" xfId="0" applyFont="1" applyBorder="1" applyAlignment="1">
      <alignment horizontal="center" vertical="center" wrapText="1" readingOrder="2"/>
    </xf>
    <xf numFmtId="0" fontId="29" fillId="0" borderId="0" xfId="0" applyFont="1" applyAlignment="1">
      <alignment horizontal="center" vertical="center" wrapText="1" readingOrder="2"/>
    </xf>
    <xf numFmtId="0" fontId="29" fillId="0" borderId="1" xfId="0" applyFont="1" applyBorder="1" applyAlignment="1">
      <alignment horizontal="center" vertical="center" wrapText="1" readingOrder="2"/>
    </xf>
    <xf numFmtId="0" fontId="21" fillId="0" borderId="3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15" fillId="0" borderId="16" xfId="0" applyFont="1" applyBorder="1" applyAlignment="1">
      <alignment horizontal="center" vertical="center" wrapText="1" readingOrder="2"/>
    </xf>
    <xf numFmtId="0" fontId="62" fillId="0" borderId="16" xfId="0" applyFont="1" applyBorder="1" applyAlignment="1">
      <alignment horizontal="center" vertical="center" wrapText="1" readingOrder="2"/>
    </xf>
    <xf numFmtId="0" fontId="15" fillId="0" borderId="0" xfId="0" applyFont="1" applyAlignment="1">
      <alignment horizontal="right" vertical="center" readingOrder="2"/>
    </xf>
    <xf numFmtId="0" fontId="35" fillId="0" borderId="0" xfId="0" applyFont="1" applyAlignment="1">
      <alignment horizontal="center" vertical="center"/>
    </xf>
    <xf numFmtId="0" fontId="60" fillId="0" borderId="0" xfId="0" applyFont="1" applyAlignment="1">
      <alignment horizontal="right" vertical="center" readingOrder="2"/>
    </xf>
    <xf numFmtId="0" fontId="29" fillId="0" borderId="4" xfId="0" applyFont="1" applyBorder="1" applyAlignment="1">
      <alignment horizontal="center" vertical="center" wrapText="1" readingOrder="2"/>
    </xf>
    <xf numFmtId="164" fontId="19" fillId="0" borderId="4" xfId="1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 vertical="center" readingOrder="2"/>
    </xf>
    <xf numFmtId="0" fontId="16" fillId="0" borderId="1" xfId="0" applyFont="1" applyBorder="1" applyAlignment="1">
      <alignment horizontal="center"/>
    </xf>
    <xf numFmtId="164" fontId="24" fillId="0" borderId="1" xfId="1" applyNumberFormat="1" applyFont="1" applyFill="1" applyBorder="1" applyAlignment="1">
      <alignment horizontal="center" vertical="center" wrapText="1" readingOrder="2"/>
    </xf>
    <xf numFmtId="0" fontId="56" fillId="0" borderId="0" xfId="0" applyFont="1" applyAlignment="1">
      <alignment horizontal="center"/>
    </xf>
    <xf numFmtId="0" fontId="66" fillId="0" borderId="0" xfId="0" applyFont="1" applyAlignment="1">
      <alignment horizontal="right" vertical="center" readingOrder="2"/>
    </xf>
    <xf numFmtId="37" fontId="28" fillId="0" borderId="11" xfId="0" applyNumberFormat="1" applyFont="1" applyBorder="1" applyAlignment="1">
      <alignment horizontal="center" vertical="center"/>
    </xf>
    <xf numFmtId="0" fontId="15" fillId="0" borderId="12" xfId="0" applyFont="1" applyBorder="1"/>
    <xf numFmtId="0" fontId="26" fillId="0" borderId="0" xfId="0" applyFont="1" applyAlignment="1">
      <alignment horizontal="right" vertical="center" readingOrder="2"/>
    </xf>
    <xf numFmtId="165" fontId="26" fillId="0" borderId="0" xfId="1" applyNumberFormat="1" applyFont="1" applyAlignment="1">
      <alignment horizontal="right" vertical="center" readingOrder="2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 wrapText="1" readingOrder="2"/>
    </xf>
    <xf numFmtId="165" fontId="23" fillId="0" borderId="1" xfId="1" applyNumberFormat="1" applyFont="1" applyFill="1" applyBorder="1" applyAlignment="1">
      <alignment horizontal="center" vertical="center" wrapText="1" readingOrder="2"/>
    </xf>
    <xf numFmtId="165" fontId="26" fillId="0" borderId="0" xfId="1" applyNumberFormat="1" applyFont="1" applyFill="1" applyAlignment="1">
      <alignment horizontal="right" vertical="center" readingOrder="2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165" fontId="22" fillId="0" borderId="1" xfId="1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 readingOrder="2"/>
    </xf>
    <xf numFmtId="164" fontId="7" fillId="0" borderId="0" xfId="0" applyNumberFormat="1" applyFont="1" applyFill="1" applyAlignment="1">
      <alignment horizontal="center" vertical="center" readingOrder="2"/>
    </xf>
    <xf numFmtId="164" fontId="7" fillId="0" borderId="2" xfId="0" applyNumberFormat="1" applyFont="1" applyFill="1" applyBorder="1" applyAlignment="1">
      <alignment horizontal="center" vertical="center" readingOrder="2"/>
    </xf>
    <xf numFmtId="0" fontId="13" fillId="0" borderId="0" xfId="0" applyFont="1" applyFill="1" applyAlignment="1">
      <alignment horizontal="center"/>
    </xf>
    <xf numFmtId="37" fontId="14" fillId="0" borderId="0" xfId="0" applyNumberFormat="1" applyFont="1" applyFill="1" applyAlignment="1">
      <alignment horizontal="right" vertical="center" wrapText="1"/>
    </xf>
    <xf numFmtId="164" fontId="21" fillId="0" borderId="2" xfId="1" applyNumberFormat="1" applyFont="1" applyFill="1" applyBorder="1" applyAlignment="1">
      <alignment horizontal="center" vertical="center" readingOrder="2"/>
    </xf>
    <xf numFmtId="164" fontId="19" fillId="0" borderId="8" xfId="1" applyNumberFormat="1" applyFont="1" applyFill="1" applyBorder="1" applyAlignment="1">
      <alignment vertical="center"/>
    </xf>
    <xf numFmtId="164" fontId="31" fillId="0" borderId="0" xfId="1" applyNumberFormat="1" applyFont="1" applyFill="1" applyBorder="1" applyAlignment="1">
      <alignment vertical="center" wrapText="1" readingOrder="2"/>
    </xf>
    <xf numFmtId="164" fontId="13" fillId="0" borderId="2" xfId="1" applyNumberFormat="1" applyFont="1" applyFill="1" applyBorder="1" applyAlignment="1">
      <alignment vertical="center"/>
    </xf>
    <xf numFmtId="0" fontId="15" fillId="0" borderId="0" xfId="0" applyFont="1" applyFill="1"/>
    <xf numFmtId="164" fontId="63" fillId="0" borderId="16" xfId="1" applyNumberFormat="1" applyFont="1" applyFill="1" applyBorder="1" applyAlignment="1">
      <alignment horizontal="center" vertical="center" wrapText="1" readingOrder="2"/>
    </xf>
    <xf numFmtId="164" fontId="13" fillId="0" borderId="8" xfId="1" applyNumberFormat="1" applyFont="1" applyFill="1" applyBorder="1" applyAlignment="1">
      <alignment horizontal="center" vertical="center"/>
    </xf>
    <xf numFmtId="164" fontId="13" fillId="0" borderId="8" xfId="1" applyNumberFormat="1" applyFont="1" applyFill="1" applyBorder="1" applyAlignment="1">
      <alignment vertical="center"/>
    </xf>
    <xf numFmtId="164" fontId="15" fillId="0" borderId="0" xfId="0" applyNumberFormat="1" applyFont="1" applyFill="1"/>
    <xf numFmtId="164" fontId="22" fillId="0" borderId="0" xfId="1" applyNumberFormat="1" applyFont="1" applyFill="1" applyBorder="1" applyAlignment="1">
      <alignment horizontal="left" vertical="center"/>
    </xf>
    <xf numFmtId="0" fontId="11" fillId="0" borderId="0" xfId="0" applyFont="1" applyFill="1"/>
    <xf numFmtId="165" fontId="21" fillId="0" borderId="0" xfId="0" applyNumberFormat="1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164" fontId="19" fillId="0" borderId="8" xfId="1" applyNumberFormat="1" applyFont="1" applyFill="1" applyBorder="1" applyAlignment="1">
      <alignment horizontal="center" vertical="center"/>
    </xf>
  </cellXfs>
  <cellStyles count="5">
    <cellStyle name="Comma" xfId="1" builtinId="3"/>
    <cellStyle name="Hyperlink 2" xfId="4" xr:uid="{00000000-0005-0000-0000-000001000000}"/>
    <cellStyle name="Normal" xfId="0" builtinId="0"/>
    <cellStyle name="Normal 2" xfId="3" xr:uid="{00000000-0005-0000-0000-000003000000}"/>
    <cellStyle name="Percent" xfId="2" builtinId="5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D0CECE"/>
          <bgColor rgb="FF000000"/>
        </patternFill>
      </fill>
    </dxf>
    <dxf>
      <fill>
        <patternFill patternType="solid">
          <fgColor rgb="FFE2EFDA"/>
          <bgColor rgb="FF000000"/>
        </patternFill>
      </fill>
    </dxf>
    <dxf>
      <fill>
        <patternFill patternType="solid">
          <fgColor rgb="FFDDEBF7"/>
          <bgColor rgb="FF000000"/>
        </patternFill>
      </fill>
    </dxf>
    <dxf>
      <fill>
        <patternFill patternType="solid">
          <fgColor rgb="FFFFF2CC"/>
          <bgColor rgb="FF000000"/>
        </patternFill>
      </fill>
    </dxf>
  </dxfs>
  <tableStyles count="0" defaultTableStyle="TableStyleMedium2" defaultPivotStyle="PivotStyleLight16"/>
  <colors>
    <mruColors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530678</xdr:colOff>
      <xdr:row>35</xdr:row>
      <xdr:rowOff>190500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127D436-07EE-0845-A39A-015D58EC53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6845037" y="0"/>
          <a:ext cx="5429249" cy="76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0.79998168889431442"/>
    <pageSetUpPr fitToPage="1"/>
  </sheetPr>
  <dimension ref="A18:M31"/>
  <sheetViews>
    <sheetView rightToLeft="1" tabSelected="1" view="pageBreakPreview" zoomScale="70" zoomScaleNormal="100" zoomScaleSheetLayoutView="70" workbookViewId="0">
      <selection activeCell="L27" sqref="L27"/>
    </sheetView>
  </sheetViews>
  <sheetFormatPr defaultColWidth="9.140625" defaultRowHeight="17.25"/>
  <cols>
    <col min="1" max="16384" width="9.140625" style="7"/>
  </cols>
  <sheetData>
    <row r="18" spans="1:13">
      <c r="M18" s="7" t="s">
        <v>55</v>
      </c>
    </row>
    <row r="24" spans="1:13" ht="15" customHeight="1">
      <c r="A24" s="287" t="s">
        <v>69</v>
      </c>
      <c r="B24" s="287"/>
      <c r="C24" s="287"/>
      <c r="D24" s="287"/>
      <c r="E24" s="287"/>
      <c r="F24" s="287"/>
      <c r="G24" s="287"/>
      <c r="H24" s="287"/>
      <c r="I24" s="287"/>
      <c r="J24" s="287"/>
      <c r="K24" s="18"/>
      <c r="L24" s="18"/>
    </row>
    <row r="25" spans="1:13" ht="15" customHeight="1">
      <c r="A25" s="287"/>
      <c r="B25" s="287"/>
      <c r="C25" s="287"/>
      <c r="D25" s="287"/>
      <c r="E25" s="287"/>
      <c r="F25" s="287"/>
      <c r="G25" s="287"/>
      <c r="H25" s="287"/>
      <c r="I25" s="287"/>
      <c r="J25" s="287"/>
      <c r="K25" s="18"/>
      <c r="L25" s="18"/>
    </row>
    <row r="26" spans="1:13" ht="15" customHeight="1">
      <c r="A26" s="287"/>
      <c r="B26" s="287"/>
      <c r="C26" s="287"/>
      <c r="D26" s="287"/>
      <c r="E26" s="287"/>
      <c r="F26" s="287"/>
      <c r="G26" s="287"/>
      <c r="H26" s="287"/>
      <c r="I26" s="287"/>
      <c r="J26" s="287"/>
      <c r="K26" s="18"/>
      <c r="L26" s="18"/>
    </row>
    <row r="28" spans="1:13" ht="15" customHeight="1">
      <c r="A28" s="287" t="s">
        <v>314</v>
      </c>
      <c r="B28" s="287"/>
      <c r="C28" s="287"/>
      <c r="D28" s="287"/>
      <c r="E28" s="287"/>
      <c r="F28" s="287"/>
      <c r="G28" s="287"/>
      <c r="H28" s="287"/>
      <c r="I28" s="287"/>
      <c r="J28" s="287"/>
      <c r="K28" s="287"/>
      <c r="L28" s="287"/>
    </row>
    <row r="29" spans="1:13" ht="15" customHeight="1">
      <c r="A29" s="287"/>
      <c r="B29" s="287"/>
      <c r="C29" s="287"/>
      <c r="D29" s="287"/>
      <c r="E29" s="287"/>
      <c r="F29" s="287"/>
      <c r="G29" s="287"/>
      <c r="H29" s="287"/>
      <c r="I29" s="287"/>
      <c r="J29" s="287"/>
      <c r="K29" s="287"/>
      <c r="L29" s="287"/>
    </row>
    <row r="30" spans="1:13" ht="15" customHeight="1">
      <c r="A30" s="287"/>
      <c r="B30" s="287"/>
      <c r="C30" s="287"/>
      <c r="D30" s="287"/>
      <c r="E30" s="287"/>
      <c r="F30" s="287"/>
      <c r="G30" s="287"/>
      <c r="H30" s="287"/>
      <c r="I30" s="287"/>
      <c r="J30" s="287"/>
      <c r="K30" s="287"/>
      <c r="L30" s="287"/>
    </row>
    <row r="31" spans="1:13" ht="15" customHeight="1">
      <c r="A31" s="287"/>
      <c r="B31" s="287"/>
      <c r="C31" s="287"/>
      <c r="D31" s="287"/>
      <c r="E31" s="287"/>
      <c r="F31" s="287"/>
      <c r="G31" s="287"/>
      <c r="H31" s="287"/>
      <c r="I31" s="287"/>
      <c r="J31" s="287"/>
      <c r="K31" s="287"/>
      <c r="L31" s="287"/>
    </row>
  </sheetData>
  <mergeCells count="5">
    <mergeCell ref="A24:J26"/>
    <mergeCell ref="A28:J30"/>
    <mergeCell ref="K28:L30"/>
    <mergeCell ref="A31:J31"/>
    <mergeCell ref="K31:L31"/>
  </mergeCells>
  <printOptions horizontalCentered="1"/>
  <pageMargins left="0.25" right="0.25" top="0.75" bottom="0.75" header="0.3" footer="0.3"/>
  <pageSetup paperSize="9" fitToWidth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theme="4" tint="0.79998168889431442"/>
    <pageSetUpPr fitToPage="1"/>
  </sheetPr>
  <dimension ref="A1:L123"/>
  <sheetViews>
    <sheetView rightToLeft="1" view="pageBreakPreview" zoomScaleNormal="100" zoomScaleSheetLayoutView="100" workbookViewId="0">
      <selection activeCell="E122" sqref="E122:I122"/>
    </sheetView>
  </sheetViews>
  <sheetFormatPr defaultColWidth="9.140625" defaultRowHeight="21.75"/>
  <cols>
    <col min="1" max="1" width="43" style="108" customWidth="1"/>
    <col min="2" max="2" width="0.7109375" style="108" customWidth="1"/>
    <col min="3" max="3" width="22.85546875" style="108" customWidth="1"/>
    <col min="4" max="4" width="0.7109375" style="108" customWidth="1"/>
    <col min="5" max="5" width="18.42578125" style="72" customWidth="1"/>
    <col min="6" max="6" width="1.42578125" style="72" customWidth="1"/>
    <col min="7" max="7" width="21.7109375" style="72" customWidth="1"/>
    <col min="8" max="8" width="1.42578125" style="72" customWidth="1"/>
    <col min="9" max="9" width="19.5703125" style="72" customWidth="1"/>
    <col min="10" max="10" width="1.28515625" style="108" customWidth="1"/>
    <col min="11" max="11" width="22" style="108" customWidth="1"/>
    <col min="12" max="12" width="0.7109375" style="108" customWidth="1"/>
    <col min="13" max="16384" width="9.140625" style="108"/>
  </cols>
  <sheetData>
    <row r="1" spans="1:12" ht="22.5">
      <c r="A1" s="351" t="s">
        <v>84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</row>
    <row r="2" spans="1:12" ht="22.5">
      <c r="A2" s="351" t="s">
        <v>53</v>
      </c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</row>
    <row r="3" spans="1:12" ht="22.5">
      <c r="A3" s="351" t="str">
        <f>' سهام'!A3:W3</f>
        <v>برای ماه منتهی به 1403/07/30</v>
      </c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1"/>
    </row>
    <row r="4" spans="1:12">
      <c r="A4" s="323" t="s">
        <v>28</v>
      </c>
      <c r="B4" s="323"/>
      <c r="C4" s="323"/>
      <c r="D4" s="323"/>
      <c r="E4" s="323"/>
      <c r="F4" s="323"/>
      <c r="G4" s="323"/>
      <c r="H4" s="323"/>
      <c r="I4" s="323"/>
      <c r="J4" s="323"/>
      <c r="K4" s="323"/>
      <c r="L4" s="323"/>
    </row>
    <row r="5" spans="1:12" ht="22.5" thickBot="1">
      <c r="A5" s="136"/>
      <c r="B5" s="136"/>
      <c r="C5" s="136"/>
      <c r="D5" s="135"/>
      <c r="E5" s="65"/>
      <c r="F5" s="65"/>
      <c r="G5" s="65"/>
      <c r="H5" s="65"/>
      <c r="I5" s="65"/>
      <c r="J5" s="136"/>
      <c r="K5" s="136"/>
      <c r="L5" s="136"/>
    </row>
    <row r="6" spans="1:12" ht="37.5" customHeight="1" thickBot="1">
      <c r="A6" s="362" t="s">
        <v>18</v>
      </c>
      <c r="B6" s="362"/>
      <c r="C6" s="362"/>
      <c r="D6" s="139"/>
      <c r="E6" s="363" t="s">
        <v>301</v>
      </c>
      <c r="F6" s="363"/>
      <c r="G6" s="363"/>
      <c r="H6" s="363"/>
      <c r="I6" s="362" t="s">
        <v>302</v>
      </c>
      <c r="J6" s="362"/>
      <c r="K6" s="362"/>
      <c r="L6" s="362"/>
    </row>
    <row r="7" spans="1:12" ht="37.5">
      <c r="A7" s="179" t="s">
        <v>14</v>
      </c>
      <c r="B7" s="139"/>
      <c r="C7" s="179" t="s">
        <v>9</v>
      </c>
      <c r="D7" s="175"/>
      <c r="E7" s="83" t="s">
        <v>15</v>
      </c>
      <c r="F7" s="84"/>
      <c r="G7" s="83" t="s">
        <v>16</v>
      </c>
      <c r="H7" s="85"/>
      <c r="I7" s="83" t="s">
        <v>15</v>
      </c>
      <c r="J7" s="139"/>
      <c r="K7" s="179" t="s">
        <v>16</v>
      </c>
      <c r="L7" s="139"/>
    </row>
    <row r="8" spans="1:12">
      <c r="A8" s="180" t="s">
        <v>101</v>
      </c>
      <c r="B8" s="139"/>
      <c r="C8" s="185">
        <v>1.00510810707074E+17</v>
      </c>
      <c r="D8" s="175"/>
      <c r="E8" s="68">
        <f>VLOOKUP(A8,'سود سپرده بانکی'!$A$7:$N$120,8,0)</f>
        <v>11289739</v>
      </c>
      <c r="F8" s="84"/>
      <c r="G8" s="107">
        <f>E8/$E$122</f>
        <v>2.6502230565132847E-3</v>
      </c>
      <c r="H8" s="92"/>
      <c r="I8" s="68">
        <f>VLOOKUP(A8,'سود سپرده بانکی'!$A$7:$N$120,14,0)</f>
        <v>55703531</v>
      </c>
      <c r="J8" s="139"/>
      <c r="K8" s="107">
        <f>I8/$I$122</f>
        <v>2.2987626967036303E-4</v>
      </c>
      <c r="L8" s="139"/>
    </row>
    <row r="9" spans="1:12">
      <c r="A9" s="180" t="s">
        <v>128</v>
      </c>
      <c r="B9" s="139"/>
      <c r="C9" s="185">
        <v>2098100152272680</v>
      </c>
      <c r="D9" s="175"/>
      <c r="E9" s="68">
        <f>VLOOKUP(A9,'سود سپرده بانکی'!$A$7:$N$120,8,0)</f>
        <v>73283214</v>
      </c>
      <c r="F9" s="84"/>
      <c r="G9" s="107">
        <f t="shared" ref="G9:G72" si="0">E9/$E$122</f>
        <v>1.7202954239969332E-2</v>
      </c>
      <c r="H9" s="92"/>
      <c r="I9" s="68">
        <f>VLOOKUP(A9,'سود سپرده بانکی'!$A$7:$N$120,14,0)</f>
        <v>12414967183</v>
      </c>
      <c r="J9" s="139"/>
      <c r="K9" s="107">
        <f t="shared" ref="K9:K72" si="1">I9/$I$122</f>
        <v>5.1233849863270162E-2</v>
      </c>
      <c r="L9" s="139"/>
    </row>
    <row r="10" spans="1:12">
      <c r="A10" s="180" t="s">
        <v>99</v>
      </c>
      <c r="B10" s="139"/>
      <c r="C10" s="185">
        <v>12485068674801</v>
      </c>
      <c r="D10" s="175"/>
      <c r="E10" s="68">
        <f>VLOOKUP(A10,'سود سپرده بانکی'!$A$7:$N$120,8,0)</f>
        <v>6004</v>
      </c>
      <c r="F10" s="84"/>
      <c r="G10" s="107">
        <f t="shared" si="0"/>
        <v>1.4094160397601539E-6</v>
      </c>
      <c r="H10" s="92"/>
      <c r="I10" s="68">
        <f>VLOOKUP(A10,'سود سپرده بانکی'!$A$7:$N$120,14,0)</f>
        <v>7525391208</v>
      </c>
      <c r="J10" s="139"/>
      <c r="K10" s="107">
        <f t="shared" si="1"/>
        <v>3.1055640955780471E-2</v>
      </c>
      <c r="L10" s="139"/>
    </row>
    <row r="11" spans="1:12">
      <c r="A11" s="180" t="s">
        <v>189</v>
      </c>
      <c r="B11" s="7"/>
      <c r="C11" s="185">
        <v>124283686748043</v>
      </c>
      <c r="D11" s="7"/>
      <c r="E11" s="68">
        <f>VLOOKUP(A11,'سود سپرده بانکی'!$A$7:$N$120,8,0)</f>
        <v>0</v>
      </c>
      <c r="F11" s="7"/>
      <c r="G11" s="107">
        <f t="shared" si="0"/>
        <v>0</v>
      </c>
      <c r="H11" s="7"/>
      <c r="I11" s="68">
        <f>VLOOKUP(A11,'سود سپرده بانکی'!$A$7:$N$120,14,0)</f>
        <v>3982191781.034483</v>
      </c>
      <c r="J11" s="7"/>
      <c r="K11" s="107">
        <f t="shared" si="1"/>
        <v>1.6433633116295376E-2</v>
      </c>
      <c r="L11" s="139"/>
    </row>
    <row r="12" spans="1:12">
      <c r="A12" s="180" t="s">
        <v>190</v>
      </c>
      <c r="B12" s="7"/>
      <c r="C12" s="185" t="s">
        <v>310</v>
      </c>
      <c r="D12" s="7"/>
      <c r="E12" s="68">
        <f>VLOOKUP(A12,'سود سپرده بانکی'!$A$7:$N$120,8,0)</f>
        <v>0</v>
      </c>
      <c r="F12" s="7"/>
      <c r="G12" s="107">
        <f t="shared" si="0"/>
        <v>0</v>
      </c>
      <c r="H12" s="7"/>
      <c r="I12" s="68">
        <f>VLOOKUP(A12,'سود سپرده بانکی'!$A$7:$N$120,14,0)</f>
        <v>13594166506.551725</v>
      </c>
      <c r="J12" s="7"/>
      <c r="K12" s="107">
        <f t="shared" si="1"/>
        <v>5.6100147148731044E-2</v>
      </c>
      <c r="L12" s="139"/>
    </row>
    <row r="13" spans="1:12">
      <c r="A13" s="180" t="s">
        <v>264</v>
      </c>
      <c r="B13" s="139"/>
      <c r="C13" s="185" t="s">
        <v>286</v>
      </c>
      <c r="D13" s="175"/>
      <c r="E13" s="68">
        <f>VLOOKUP(A13,'سود سپرده بانکی'!$A$7:$N$120,8,0)</f>
        <v>0</v>
      </c>
      <c r="F13" s="84"/>
      <c r="G13" s="107">
        <f t="shared" si="0"/>
        <v>0</v>
      </c>
      <c r="H13" s="92"/>
      <c r="I13" s="68">
        <f>VLOOKUP(A13,'سود سپرده بانکی'!$A$7:$N$120,14,0)</f>
        <v>28501490.769230772</v>
      </c>
      <c r="J13" s="139"/>
      <c r="K13" s="107">
        <f t="shared" si="1"/>
        <v>1.1761940868838379E-4</v>
      </c>
      <c r="L13" s="139"/>
    </row>
    <row r="14" spans="1:12">
      <c r="A14" s="180" t="s">
        <v>262</v>
      </c>
      <c r="B14" s="139"/>
      <c r="C14" s="185" t="s">
        <v>285</v>
      </c>
      <c r="D14" s="175"/>
      <c r="E14" s="68">
        <f>VLOOKUP(A14,'سود سپرده بانکی'!$A$7:$N$120,8,0)</f>
        <v>0</v>
      </c>
      <c r="F14" s="84"/>
      <c r="G14" s="107">
        <f t="shared" si="0"/>
        <v>0</v>
      </c>
      <c r="H14" s="92"/>
      <c r="I14" s="68">
        <f>VLOOKUP(A14,'سود سپرده بانکی'!$A$7:$N$120,14,0)</f>
        <v>2577493.557692308</v>
      </c>
      <c r="J14" s="139"/>
      <c r="K14" s="107">
        <f t="shared" si="1"/>
        <v>1.0636751270609765E-5</v>
      </c>
      <c r="L14" s="139"/>
    </row>
    <row r="15" spans="1:12">
      <c r="A15" s="180" t="s">
        <v>261</v>
      </c>
      <c r="B15" s="139"/>
      <c r="C15" s="185" t="s">
        <v>284</v>
      </c>
      <c r="D15" s="175"/>
      <c r="E15" s="68">
        <f>VLOOKUP(A15,'سود سپرده بانکی'!$A$7:$N$120,8,0)</f>
        <v>0</v>
      </c>
      <c r="F15" s="84"/>
      <c r="G15" s="107">
        <f t="shared" si="0"/>
        <v>0</v>
      </c>
      <c r="H15" s="92"/>
      <c r="I15" s="68">
        <f>VLOOKUP(A15,'سود سپرده بانکی'!$A$7:$N$120,14,0)</f>
        <v>1920928.846153846</v>
      </c>
      <c r="J15" s="139"/>
      <c r="K15" s="107">
        <f t="shared" si="1"/>
        <v>7.9272525372950025E-6</v>
      </c>
      <c r="L15" s="139"/>
    </row>
    <row r="16" spans="1:12">
      <c r="A16" s="180" t="s">
        <v>260</v>
      </c>
      <c r="B16" s="139"/>
      <c r="C16" s="185" t="s">
        <v>283</v>
      </c>
      <c r="D16" s="175"/>
      <c r="E16" s="68">
        <f>VLOOKUP(A16,'سود سپرده بانکی'!$A$7:$N$120,8,0)</f>
        <v>0</v>
      </c>
      <c r="F16" s="84"/>
      <c r="G16" s="107">
        <f t="shared" si="0"/>
        <v>0</v>
      </c>
      <c r="H16" s="92"/>
      <c r="I16" s="68">
        <f>VLOOKUP(A16,'سود سپرده بانکی'!$A$7:$N$120,14,0)</f>
        <v>863432.30769230763</v>
      </c>
      <c r="J16" s="139"/>
      <c r="K16" s="107">
        <f t="shared" si="1"/>
        <v>3.5631959849220469E-6</v>
      </c>
      <c r="L16" s="139"/>
    </row>
    <row r="17" spans="1:12">
      <c r="A17" s="180" t="s">
        <v>259</v>
      </c>
      <c r="B17" s="139"/>
      <c r="C17" s="185" t="s">
        <v>282</v>
      </c>
      <c r="D17" s="175"/>
      <c r="E17" s="68">
        <f>VLOOKUP(A17,'سود سپرده بانکی'!$A$7:$N$120,8,0)</f>
        <v>0</v>
      </c>
      <c r="F17" s="84"/>
      <c r="G17" s="107">
        <f t="shared" si="0"/>
        <v>0</v>
      </c>
      <c r="H17" s="92"/>
      <c r="I17" s="68">
        <f>VLOOKUP(A17,'سود سپرده بانکی'!$A$7:$N$120,14,0)</f>
        <v>6712181.826923077</v>
      </c>
      <c r="J17" s="139"/>
      <c r="K17" s="107">
        <f t="shared" si="1"/>
        <v>2.7699703986849223E-5</v>
      </c>
      <c r="L17" s="139"/>
    </row>
    <row r="18" spans="1:12">
      <c r="A18" s="180" t="s">
        <v>258</v>
      </c>
      <c r="B18" s="139"/>
      <c r="C18" s="276" t="s">
        <v>281</v>
      </c>
      <c r="D18" s="175"/>
      <c r="E18" s="68">
        <f>VLOOKUP(A18,'سود سپرده بانکی'!$A$7:$N$120,8,0)</f>
        <v>0</v>
      </c>
      <c r="F18" s="84"/>
      <c r="G18" s="107">
        <f t="shared" si="0"/>
        <v>0</v>
      </c>
      <c r="H18" s="92"/>
      <c r="I18" s="68">
        <f>VLOOKUP(A18,'سود سپرده بانکی'!$A$7:$N$120,14,0)</f>
        <v>2364422.884615385</v>
      </c>
      <c r="J18" s="139"/>
      <c r="K18" s="107">
        <f t="shared" si="1"/>
        <v>9.7574552794260722E-6</v>
      </c>
      <c r="L18" s="139"/>
    </row>
    <row r="19" spans="1:12">
      <c r="A19" s="180" t="s">
        <v>257</v>
      </c>
      <c r="B19" s="139"/>
      <c r="C19" s="276" t="s">
        <v>280</v>
      </c>
      <c r="D19" s="175"/>
      <c r="E19" s="68">
        <f>VLOOKUP(A19,'سود سپرده بانکی'!$A$7:$N$120,8,0)</f>
        <v>0</v>
      </c>
      <c r="F19" s="84"/>
      <c r="G19" s="107">
        <f t="shared" si="0"/>
        <v>0</v>
      </c>
      <c r="H19" s="92"/>
      <c r="I19" s="68">
        <f>VLOOKUP(A19,'سود سپرده بانکی'!$A$7:$N$120,14,0)</f>
        <v>15487729.615384616</v>
      </c>
      <c r="J19" s="139"/>
      <c r="K19" s="107">
        <f t="shared" si="1"/>
        <v>6.3914467283013388E-5</v>
      </c>
      <c r="L19" s="139"/>
    </row>
    <row r="20" spans="1:12">
      <c r="A20" s="180" t="s">
        <v>256</v>
      </c>
      <c r="B20" s="139"/>
      <c r="C20" s="276" t="s">
        <v>279</v>
      </c>
      <c r="D20" s="175"/>
      <c r="E20" s="68">
        <f>VLOOKUP(A20,'سود سپرده بانکی'!$A$7:$N$120,8,0)</f>
        <v>0</v>
      </c>
      <c r="F20" s="84"/>
      <c r="G20" s="107">
        <f t="shared" si="0"/>
        <v>0</v>
      </c>
      <c r="H20" s="92"/>
      <c r="I20" s="68">
        <f>VLOOKUP(A20,'سود سپرده بانکی'!$A$7:$N$120,14,0)</f>
        <v>6827283.173076923</v>
      </c>
      <c r="J20" s="139"/>
      <c r="K20" s="107">
        <f t="shared" si="1"/>
        <v>2.8174702027599696E-5</v>
      </c>
      <c r="L20" s="139"/>
    </row>
    <row r="21" spans="1:12">
      <c r="A21" s="180" t="s">
        <v>255</v>
      </c>
      <c r="B21" s="139"/>
      <c r="C21" s="276" t="s">
        <v>278</v>
      </c>
      <c r="D21" s="175"/>
      <c r="E21" s="68">
        <f>VLOOKUP(A21,'سود سپرده بانکی'!$A$7:$N$120,8,0)</f>
        <v>0</v>
      </c>
      <c r="F21" s="84"/>
      <c r="G21" s="107">
        <f t="shared" si="0"/>
        <v>0</v>
      </c>
      <c r="H21" s="92"/>
      <c r="I21" s="68">
        <f>VLOOKUP(A21,'سود سپرده بانکی'!$A$7:$N$120,14,0)</f>
        <v>1049243.3653846155</v>
      </c>
      <c r="J21" s="139"/>
      <c r="K21" s="107">
        <f t="shared" si="1"/>
        <v>4.3299975150766137E-6</v>
      </c>
      <c r="L21" s="139"/>
    </row>
    <row r="22" spans="1:12">
      <c r="A22" s="180" t="s">
        <v>266</v>
      </c>
      <c r="B22" s="139"/>
      <c r="C22" s="276" t="s">
        <v>306</v>
      </c>
      <c r="D22" s="175"/>
      <c r="E22" s="68">
        <f>VLOOKUP(A22,'سود سپرده بانکی'!$A$7:$N$120,8,0)</f>
        <v>0</v>
      </c>
      <c r="F22" s="84"/>
      <c r="G22" s="107">
        <f t="shared" si="0"/>
        <v>0</v>
      </c>
      <c r="H22" s="92"/>
      <c r="I22" s="68">
        <f>VLOOKUP(A22,'سود سپرده بانکی'!$A$7:$N$120,14,0)</f>
        <v>9087653.2075471692</v>
      </c>
      <c r="J22" s="139"/>
      <c r="K22" s="107">
        <f t="shared" si="1"/>
        <v>3.7502753988950046E-5</v>
      </c>
      <c r="L22" s="139"/>
    </row>
    <row r="23" spans="1:12">
      <c r="A23" s="180" t="s">
        <v>111</v>
      </c>
      <c r="B23" s="7"/>
      <c r="C23" s="276" t="s">
        <v>307</v>
      </c>
      <c r="D23" s="7"/>
      <c r="E23" s="68">
        <f>VLOOKUP(A23,'سود سپرده بانکی'!$A$7:$N$120,8,0)</f>
        <v>0</v>
      </c>
      <c r="F23" s="7"/>
      <c r="G23" s="107">
        <f t="shared" si="0"/>
        <v>0</v>
      </c>
      <c r="H23" s="7"/>
      <c r="I23" s="68">
        <f>VLOOKUP(A23,'سود سپرده بانکی'!$A$7:$N$120,14,0)</f>
        <v>19955265.283018865</v>
      </c>
      <c r="J23" s="7"/>
      <c r="K23" s="107">
        <f t="shared" si="1"/>
        <v>8.2351008296814758E-5</v>
      </c>
      <c r="L23" s="139"/>
    </row>
    <row r="24" spans="1:12">
      <c r="A24" s="180" t="s">
        <v>254</v>
      </c>
      <c r="B24" s="7"/>
      <c r="C24" s="185" t="s">
        <v>308</v>
      </c>
      <c r="D24" s="7"/>
      <c r="E24" s="68">
        <f>VLOOKUP(A24,'سود سپرده بانکی'!$A$7:$N$120,8,0)</f>
        <v>0</v>
      </c>
      <c r="F24" s="7"/>
      <c r="G24" s="107">
        <f t="shared" si="0"/>
        <v>0</v>
      </c>
      <c r="H24" s="7"/>
      <c r="I24" s="68">
        <f>VLOOKUP(A24,'سود سپرده بانکی'!$A$7:$N$120,14,0)</f>
        <v>5715609.6226415094</v>
      </c>
      <c r="J24" s="7"/>
      <c r="K24" s="107">
        <f t="shared" si="1"/>
        <v>2.3587068815168316E-5</v>
      </c>
      <c r="L24" s="139"/>
    </row>
    <row r="25" spans="1:12">
      <c r="A25" s="180" t="s">
        <v>253</v>
      </c>
      <c r="B25" s="7"/>
      <c r="C25" s="185" t="s">
        <v>309</v>
      </c>
      <c r="D25" s="7"/>
      <c r="E25" s="68">
        <f>VLOOKUP(A25,'سود سپرده بانکی'!$A$7:$N$120,8,0)</f>
        <v>0</v>
      </c>
      <c r="F25" s="7"/>
      <c r="G25" s="107">
        <f t="shared" si="0"/>
        <v>0</v>
      </c>
      <c r="H25" s="7"/>
      <c r="I25" s="68">
        <f>VLOOKUP(A25,'سود سپرده بانکی'!$A$7:$N$120,14,0)</f>
        <v>6740641.6981132077</v>
      </c>
      <c r="J25" s="7"/>
      <c r="K25" s="107">
        <f t="shared" si="1"/>
        <v>2.7817151640652107E-5</v>
      </c>
      <c r="L25" s="139"/>
    </row>
    <row r="26" spans="1:12">
      <c r="A26" s="180" t="s">
        <v>267</v>
      </c>
      <c r="B26" s="7"/>
      <c r="C26" s="185" t="s">
        <v>287</v>
      </c>
      <c r="D26" s="7"/>
      <c r="E26" s="68">
        <f>VLOOKUP(A26,'سود سپرده بانکی'!$A$7:$N$120,8,0)</f>
        <v>0</v>
      </c>
      <c r="F26" s="7"/>
      <c r="G26" s="107">
        <f t="shared" si="0"/>
        <v>0</v>
      </c>
      <c r="H26" s="7"/>
      <c r="I26" s="68">
        <f>VLOOKUP(A26,'سود سپرده بانکی'!$A$7:$N$120,14,0)</f>
        <v>2643495.283018868</v>
      </c>
      <c r="J26" s="7"/>
      <c r="K26" s="107">
        <f t="shared" si="1"/>
        <v>1.0909125932278476E-5</v>
      </c>
      <c r="L26" s="139"/>
    </row>
    <row r="27" spans="1:12">
      <c r="A27" s="180" t="s">
        <v>115</v>
      </c>
      <c r="B27" s="7"/>
      <c r="C27" s="185" t="s">
        <v>277</v>
      </c>
      <c r="D27" s="7"/>
      <c r="E27" s="68">
        <f>VLOOKUP(A27,'سود سپرده بانکی'!$A$7:$N$120,8,0)</f>
        <v>0</v>
      </c>
      <c r="F27" s="7"/>
      <c r="G27" s="107">
        <f t="shared" si="0"/>
        <v>0</v>
      </c>
      <c r="H27" s="7"/>
      <c r="I27" s="68">
        <f>VLOOKUP(A27,'سود سپرده بانکی'!$A$7:$N$120,14,0)</f>
        <v>58909586.603773586</v>
      </c>
      <c r="J27" s="7"/>
      <c r="K27" s="107">
        <f t="shared" si="1"/>
        <v>2.4310695880838619E-4</v>
      </c>
      <c r="L27" s="139"/>
    </row>
    <row r="28" spans="1:12">
      <c r="A28" s="180" t="s">
        <v>265</v>
      </c>
      <c r="B28" s="7"/>
      <c r="C28" s="185">
        <v>124283686748037</v>
      </c>
      <c r="D28" s="7"/>
      <c r="E28" s="68">
        <f>VLOOKUP(A28,'سود سپرده بانکی'!$A$7:$N$120,8,0)</f>
        <v>0</v>
      </c>
      <c r="F28" s="7"/>
      <c r="G28" s="107">
        <f t="shared" si="0"/>
        <v>0</v>
      </c>
      <c r="H28" s="7"/>
      <c r="I28" s="68">
        <f>VLOOKUP(A28,'سود سپرده بانکی'!$A$7:$N$120,14,0)</f>
        <v>1834881.7924528301</v>
      </c>
      <c r="J28" s="7"/>
      <c r="K28" s="107">
        <f t="shared" si="1"/>
        <v>7.572155196680905E-6</v>
      </c>
      <c r="L28" s="139"/>
    </row>
    <row r="29" spans="1:12">
      <c r="A29" s="180" t="s">
        <v>120</v>
      </c>
      <c r="B29" s="7"/>
      <c r="C29" s="185">
        <v>124283686748038</v>
      </c>
      <c r="D29" s="7"/>
      <c r="E29" s="68">
        <f>VLOOKUP(A29,'سود سپرده بانکی'!$A$7:$N$120,8,0)</f>
        <v>0</v>
      </c>
      <c r="F29" s="7"/>
      <c r="G29" s="107">
        <f t="shared" si="0"/>
        <v>0</v>
      </c>
      <c r="H29" s="7"/>
      <c r="I29" s="68">
        <f>VLOOKUP(A29,'سود سپرده بانکی'!$A$7:$N$120,14,0)</f>
        <v>103191556.41509433</v>
      </c>
      <c r="J29" s="7"/>
      <c r="K29" s="107">
        <f t="shared" si="1"/>
        <v>4.2584894753226158E-4</v>
      </c>
      <c r="L29" s="139"/>
    </row>
    <row r="30" spans="1:12">
      <c r="A30" s="180" t="s">
        <v>148</v>
      </c>
      <c r="B30" s="7"/>
      <c r="C30" s="185">
        <v>124283686748042</v>
      </c>
      <c r="D30" s="7"/>
      <c r="E30" s="68">
        <f>VLOOKUP(A30,'سود سپرده بانکی'!$A$7:$N$120,8,0)</f>
        <v>0</v>
      </c>
      <c r="F30" s="7"/>
      <c r="G30" s="107">
        <f t="shared" si="0"/>
        <v>0</v>
      </c>
      <c r="H30" s="7"/>
      <c r="I30" s="68">
        <f>VLOOKUP(A30,'سود سپرده بانکی'!$A$7:$N$120,14,0)</f>
        <v>1833890928.3333333</v>
      </c>
      <c r="J30" s="7"/>
      <c r="K30" s="107">
        <f t="shared" si="1"/>
        <v>7.568066117524681E-3</v>
      </c>
      <c r="L30" s="139"/>
    </row>
    <row r="31" spans="1:12">
      <c r="A31" s="180" t="s">
        <v>130</v>
      </c>
      <c r="B31" s="7"/>
      <c r="C31" s="185">
        <v>124283686748039</v>
      </c>
      <c r="D31" s="7"/>
      <c r="E31" s="68">
        <f>VLOOKUP(A31,'سود سپرده بانکی'!$A$7:$N$120,8,0)</f>
        <v>0</v>
      </c>
      <c r="F31" s="7"/>
      <c r="G31" s="107">
        <f t="shared" si="0"/>
        <v>0</v>
      </c>
      <c r="H31" s="7"/>
      <c r="I31" s="68">
        <f>VLOOKUP(A31,'سود سپرده بانکی'!$A$7:$N$120,14,0)</f>
        <v>1431564389.1509433</v>
      </c>
      <c r="J31" s="7"/>
      <c r="K31" s="107">
        <f t="shared" si="1"/>
        <v>5.907752626506761E-3</v>
      </c>
      <c r="L31" s="139"/>
    </row>
    <row r="32" spans="1:12">
      <c r="A32" s="180" t="s">
        <v>156</v>
      </c>
      <c r="B32" s="7"/>
      <c r="C32" s="185">
        <v>124283686748040</v>
      </c>
      <c r="D32" s="7"/>
      <c r="E32" s="68">
        <f>VLOOKUP(A32,'سود سپرده بانکی'!$A$7:$N$120,8,0)</f>
        <v>0</v>
      </c>
      <c r="F32" s="7"/>
      <c r="G32" s="107">
        <f t="shared" si="0"/>
        <v>0</v>
      </c>
      <c r="H32" s="7"/>
      <c r="I32" s="68">
        <f>VLOOKUP(A32,'سود سپرده بانکی'!$A$7:$N$120,14,0)</f>
        <v>7259181982.5</v>
      </c>
      <c r="J32" s="7"/>
      <c r="K32" s="107">
        <f t="shared" si="1"/>
        <v>2.9957053799613002E-2</v>
      </c>
      <c r="L32" s="139"/>
    </row>
    <row r="33" spans="1:12">
      <c r="A33" s="180" t="s">
        <v>144</v>
      </c>
      <c r="B33" s="7"/>
      <c r="C33" s="185">
        <v>124283686748041</v>
      </c>
      <c r="D33" s="7"/>
      <c r="E33" s="68">
        <f>VLOOKUP(A33,'سود سپرده بانکی'!$A$7:$N$120,8,0)</f>
        <v>0</v>
      </c>
      <c r="F33" s="7"/>
      <c r="G33" s="107">
        <f t="shared" si="0"/>
        <v>0</v>
      </c>
      <c r="H33" s="7"/>
      <c r="I33" s="68">
        <f>VLOOKUP(A33,'سود سپرده بانکی'!$A$7:$N$120,14,0)</f>
        <v>1629280759.1666667</v>
      </c>
      <c r="J33" s="7"/>
      <c r="K33" s="107">
        <f t="shared" si="1"/>
        <v>6.7236847725672989E-3</v>
      </c>
      <c r="L33" s="139"/>
    </row>
    <row r="34" spans="1:12">
      <c r="A34" s="180" t="s">
        <v>263</v>
      </c>
      <c r="B34" s="139"/>
      <c r="C34" s="185" t="s">
        <v>305</v>
      </c>
      <c r="D34" s="175"/>
      <c r="E34" s="68">
        <f>VLOOKUP(A34,'سود سپرده بانکی'!$A$7:$N$120,8,0)</f>
        <v>0</v>
      </c>
      <c r="F34" s="84"/>
      <c r="G34" s="107">
        <f t="shared" si="0"/>
        <v>0</v>
      </c>
      <c r="H34" s="92"/>
      <c r="I34" s="68">
        <f>VLOOKUP(A34,'سود سپرده بانکی'!$A$7:$N$120,14,0)</f>
        <v>2114528.3653846155</v>
      </c>
      <c r="J34" s="139"/>
      <c r="K34" s="107">
        <f t="shared" si="1"/>
        <v>8.7261953420293199E-6</v>
      </c>
      <c r="L34" s="139"/>
    </row>
    <row r="35" spans="1:12">
      <c r="A35" s="180" t="s">
        <v>100</v>
      </c>
      <c r="B35" s="139"/>
      <c r="C35" s="185">
        <v>86481039984291</v>
      </c>
      <c r="D35" s="175"/>
      <c r="E35" s="68">
        <f>VLOOKUP(A35,'سود سپرده بانکی'!$A$7:$N$120,8,0)</f>
        <v>6228</v>
      </c>
      <c r="F35" s="84"/>
      <c r="G35" s="107">
        <f t="shared" si="0"/>
        <v>1.4619991831489404E-6</v>
      </c>
      <c r="H35" s="92"/>
      <c r="I35" s="68">
        <f>VLOOKUP(A35,'سود سپرده بانکی'!$A$7:$N$120,14,0)</f>
        <v>94813</v>
      </c>
      <c r="J35" s="139"/>
      <c r="K35" s="107">
        <f t="shared" si="1"/>
        <v>3.9127248066655112E-7</v>
      </c>
      <c r="L35" s="139"/>
    </row>
    <row r="36" spans="1:12">
      <c r="A36" s="180" t="s">
        <v>103</v>
      </c>
      <c r="B36" s="139"/>
      <c r="C36" s="185">
        <v>228580617005</v>
      </c>
      <c r="D36" s="175"/>
      <c r="E36" s="68">
        <f>VLOOKUP(A36,'سود سپرده بانکی'!$A$7:$N$120,8,0)</f>
        <v>2472</v>
      </c>
      <c r="F36" s="84"/>
      <c r="G36" s="107">
        <f t="shared" si="0"/>
        <v>5.8029254668339448E-7</v>
      </c>
      <c r="H36" s="92"/>
      <c r="I36" s="68">
        <f>VLOOKUP(A36,'سود سپرده بانکی'!$A$7:$N$120,14,0)</f>
        <v>24041</v>
      </c>
      <c r="J36" s="139"/>
      <c r="K36" s="107">
        <f t="shared" si="1"/>
        <v>9.9211940426993712E-8</v>
      </c>
      <c r="L36" s="139"/>
    </row>
    <row r="37" spans="1:12">
      <c r="A37" s="180" t="s">
        <v>102</v>
      </c>
      <c r="B37" s="139"/>
      <c r="C37" s="185">
        <v>217918818004</v>
      </c>
      <c r="D37" s="175"/>
      <c r="E37" s="68">
        <f>VLOOKUP(A37,'سود سپرده بانکی'!$A$7:$N$120,8,0)</f>
        <v>0</v>
      </c>
      <c r="F37" s="84"/>
      <c r="G37" s="107">
        <f t="shared" si="0"/>
        <v>0</v>
      </c>
      <c r="H37" s="92"/>
      <c r="I37" s="68">
        <f>VLOOKUP(A37,'سود سپرده بانکی'!$A$7:$N$120,14,0)</f>
        <v>163748652</v>
      </c>
      <c r="J37" s="139"/>
      <c r="K37" s="107">
        <f t="shared" si="1"/>
        <v>6.7575481499207706E-4</v>
      </c>
      <c r="L37" s="139"/>
    </row>
    <row r="38" spans="1:12">
      <c r="A38" s="180" t="s">
        <v>109</v>
      </c>
      <c r="B38" s="139"/>
      <c r="C38" s="276">
        <v>359490219</v>
      </c>
      <c r="D38" s="175"/>
      <c r="E38" s="68">
        <f>VLOOKUP(A38,'سود سپرده بانکی'!$A$7:$N$120,8,0)</f>
        <v>1541</v>
      </c>
      <c r="F38" s="84"/>
      <c r="G38" s="107">
        <f t="shared" si="0"/>
        <v>3.6174385697375037E-7</v>
      </c>
      <c r="H38" s="92"/>
      <c r="I38" s="68">
        <f>VLOOKUP(A38,'سود سپرده بانکی'!$A$7:$N$120,14,0)</f>
        <v>25202</v>
      </c>
      <c r="J38" s="139"/>
      <c r="K38" s="107">
        <f t="shared" si="1"/>
        <v>1.0400313309101517E-7</v>
      </c>
      <c r="L38" s="139"/>
    </row>
    <row r="39" spans="1:12">
      <c r="A39" s="180" t="s">
        <v>97</v>
      </c>
      <c r="B39" s="139"/>
      <c r="C39" s="185">
        <v>310058720239</v>
      </c>
      <c r="D39" s="175"/>
      <c r="E39" s="68">
        <f>VLOOKUP(A39,'سود سپرده بانکی'!$A$7:$N$120,8,0)</f>
        <v>2161630</v>
      </c>
      <c r="F39" s="84"/>
      <c r="G39" s="107">
        <f t="shared" si="0"/>
        <v>5.0743437608706554E-4</v>
      </c>
      <c r="H39" s="92"/>
      <c r="I39" s="68">
        <f>VLOOKUP(A39,'سود سپرده بانکی'!$A$7:$N$120,14,0)</f>
        <v>8575877526</v>
      </c>
      <c r="J39" s="139"/>
      <c r="K39" s="107">
        <f t="shared" si="1"/>
        <v>3.5390767864011741E-2</v>
      </c>
      <c r="L39" s="139"/>
    </row>
    <row r="40" spans="1:12">
      <c r="A40" s="180" t="s">
        <v>110</v>
      </c>
      <c r="B40" s="139"/>
      <c r="C40" s="276" t="s">
        <v>317</v>
      </c>
      <c r="D40" s="175"/>
      <c r="E40" s="68">
        <f>VLOOKUP(A40,'سود سپرده بانکی'!$A$7:$N$120,8,0)</f>
        <v>0</v>
      </c>
      <c r="F40" s="84"/>
      <c r="G40" s="107">
        <f t="shared" si="0"/>
        <v>0</v>
      </c>
      <c r="H40" s="92"/>
      <c r="I40" s="68">
        <f>VLOOKUP(A40,'سود سپرده بانکی'!$A$7:$N$120,14,0)</f>
        <v>13592275.961538462</v>
      </c>
      <c r="J40" s="139"/>
      <c r="K40" s="107">
        <f t="shared" si="1"/>
        <v>5.6092345283616014E-5</v>
      </c>
      <c r="L40" s="139"/>
    </row>
    <row r="41" spans="1:12">
      <c r="A41" s="180" t="s">
        <v>108</v>
      </c>
      <c r="B41" s="7"/>
      <c r="C41" s="185">
        <v>5600931334082</v>
      </c>
      <c r="D41" s="7"/>
      <c r="E41" s="68">
        <f>VLOOKUP(A41,'سود سپرده بانکی'!$A$7:$N$120,8,0)</f>
        <v>0</v>
      </c>
      <c r="F41" s="7"/>
      <c r="G41" s="107">
        <f t="shared" si="0"/>
        <v>0</v>
      </c>
      <c r="H41" s="7"/>
      <c r="I41" s="68">
        <f>VLOOKUP(A41,'سود سپرده بانکی'!$A$7:$N$120,14,0)</f>
        <v>10554357.980769232</v>
      </c>
      <c r="J41" s="7"/>
      <c r="K41" s="107">
        <f t="shared" si="1"/>
        <v>4.3555523282444271E-5</v>
      </c>
      <c r="L41" s="139"/>
    </row>
    <row r="42" spans="1:12">
      <c r="A42" s="180" t="s">
        <v>114</v>
      </c>
      <c r="B42" s="7"/>
      <c r="C42" s="185">
        <v>5600929334672</v>
      </c>
      <c r="D42" s="7"/>
      <c r="E42" s="68">
        <f>VLOOKUP(A42,'سود سپرده بانکی'!$A$7:$N$120,8,0)</f>
        <v>0</v>
      </c>
      <c r="F42" s="7"/>
      <c r="G42" s="107">
        <f t="shared" si="0"/>
        <v>0</v>
      </c>
      <c r="H42" s="7"/>
      <c r="I42" s="68">
        <f>VLOOKUP(A42,'سود سپرده بانکی'!$A$7:$N$120,14,0)</f>
        <v>2858263320.6896553</v>
      </c>
      <c r="J42" s="7"/>
      <c r="K42" s="107">
        <f t="shared" si="1"/>
        <v>1.1795426575305658E-2</v>
      </c>
      <c r="L42" s="139"/>
    </row>
    <row r="43" spans="1:12">
      <c r="A43" s="180" t="s">
        <v>116</v>
      </c>
      <c r="B43" s="7"/>
      <c r="C43" s="185">
        <v>5600929334698</v>
      </c>
      <c r="D43" s="7"/>
      <c r="E43" s="68">
        <f>VLOOKUP(A43,'سود سپرده بانکی'!$A$7:$N$120,8,0)</f>
        <v>0</v>
      </c>
      <c r="F43" s="7"/>
      <c r="G43" s="107">
        <f t="shared" si="0"/>
        <v>0</v>
      </c>
      <c r="H43" s="7"/>
      <c r="I43" s="68">
        <f>VLOOKUP(A43,'سود سپرده بانکی'!$A$7:$N$120,14,0)</f>
        <v>3312018277.5862069</v>
      </c>
      <c r="J43" s="7"/>
      <c r="K43" s="107">
        <f t="shared" si="1"/>
        <v>1.3667973879996551E-2</v>
      </c>
      <c r="L43" s="139"/>
    </row>
    <row r="44" spans="1:12">
      <c r="A44" s="180" t="s">
        <v>150</v>
      </c>
      <c r="B44" s="7"/>
      <c r="C44" s="185">
        <v>5600929335463</v>
      </c>
      <c r="D44" s="7"/>
      <c r="E44" s="68">
        <f>VLOOKUP(A44,'سود سپرده بانکی'!$A$7:$N$120,8,0)</f>
        <v>0</v>
      </c>
      <c r="F44" s="7"/>
      <c r="G44" s="107">
        <f t="shared" si="0"/>
        <v>0</v>
      </c>
      <c r="H44" s="7"/>
      <c r="I44" s="68">
        <f>VLOOKUP(A44,'سود سپرده بانکی'!$A$7:$N$120,14,0)</f>
        <v>11624457203.831776</v>
      </c>
      <c r="J44" s="7"/>
      <c r="K44" s="107">
        <f t="shared" si="1"/>
        <v>4.7971588353342046E-2</v>
      </c>
      <c r="L44" s="139"/>
    </row>
    <row r="45" spans="1:12">
      <c r="A45" s="180" t="s">
        <v>147</v>
      </c>
      <c r="B45" s="7"/>
      <c r="C45" s="185">
        <v>5600931334165</v>
      </c>
      <c r="D45" s="7"/>
      <c r="E45" s="68">
        <f>VLOOKUP(A45,'سود سپرده بانکی'!$A$7:$N$120,8,0)</f>
        <v>11443924.76635514</v>
      </c>
      <c r="F45" s="7"/>
      <c r="G45" s="107">
        <f t="shared" si="0"/>
        <v>2.6864175755345449E-3</v>
      </c>
      <c r="H45" s="7"/>
      <c r="I45" s="68">
        <f>VLOOKUP(A45,'سود سپرده بانکی'!$A$7:$N$120,14,0)</f>
        <v>1145690481.0280373</v>
      </c>
      <c r="J45" s="7"/>
      <c r="K45" s="107">
        <f t="shared" si="1"/>
        <v>4.7280136330238934E-3</v>
      </c>
      <c r="L45" s="139"/>
    </row>
    <row r="46" spans="1:12">
      <c r="A46" s="180" t="s">
        <v>202</v>
      </c>
      <c r="B46" s="7"/>
      <c r="C46" s="185">
        <v>5600887334755</v>
      </c>
      <c r="D46" s="7"/>
      <c r="E46" s="68">
        <f>VLOOKUP(A46,'سود سپرده بانکی'!$A$7:$N$120,8,0)</f>
        <v>0</v>
      </c>
      <c r="F46" s="7"/>
      <c r="G46" s="107">
        <f t="shared" si="0"/>
        <v>0</v>
      </c>
      <c r="H46" s="7"/>
      <c r="I46" s="68">
        <f>VLOOKUP(A46,'سود سپرده بانکی'!$A$7:$N$120,14,0)</f>
        <v>11550436336.500002</v>
      </c>
      <c r="J46" s="7"/>
      <c r="K46" s="107">
        <f t="shared" si="1"/>
        <v>4.7666120449341612E-2</v>
      </c>
      <c r="L46" s="139"/>
    </row>
    <row r="47" spans="1:12">
      <c r="A47" s="180" t="s">
        <v>201</v>
      </c>
      <c r="B47" s="7"/>
      <c r="C47" s="185">
        <v>5600887334805</v>
      </c>
      <c r="D47" s="7"/>
      <c r="E47" s="68">
        <f>VLOOKUP(A47,'سود سپرده بانکی'!$A$7:$N$120,8,0)</f>
        <v>0</v>
      </c>
      <c r="F47" s="7"/>
      <c r="G47" s="107">
        <f t="shared" si="0"/>
        <v>0</v>
      </c>
      <c r="H47" s="7"/>
      <c r="I47" s="68">
        <f>VLOOKUP(A47,'سود سپرده بانکی'!$A$7:$N$120,14,0)</f>
        <v>3967667780.2500005</v>
      </c>
      <c r="J47" s="7"/>
      <c r="K47" s="107">
        <f t="shared" si="1"/>
        <v>1.6373695746776981E-2</v>
      </c>
      <c r="L47" s="139"/>
    </row>
    <row r="48" spans="1:12">
      <c r="A48" s="180" t="s">
        <v>122</v>
      </c>
      <c r="B48" s="7"/>
      <c r="C48" s="185">
        <v>2093071522726810</v>
      </c>
      <c r="D48" s="7"/>
      <c r="E48" s="68">
        <f>VLOOKUP(A48,'سود سپرده بانکی'!$A$7:$N$120,8,0)</f>
        <v>0</v>
      </c>
      <c r="F48" s="7"/>
      <c r="G48" s="107">
        <f t="shared" si="0"/>
        <v>0</v>
      </c>
      <c r="H48" s="7"/>
      <c r="I48" s="68">
        <f>VLOOKUP(A48,'سود سپرده بانکی'!$A$7:$N$120,14,0)</f>
        <v>140235401.03773585</v>
      </c>
      <c r="J48" s="7"/>
      <c r="K48" s="107">
        <f t="shared" si="1"/>
        <v>5.7872077923178827E-4</v>
      </c>
      <c r="L48" s="139"/>
    </row>
    <row r="49" spans="1:12">
      <c r="A49" s="180" t="s">
        <v>121</v>
      </c>
      <c r="B49" s="7"/>
      <c r="C49" s="185">
        <v>2093071522726810</v>
      </c>
      <c r="D49" s="7"/>
      <c r="E49" s="68">
        <f>VLOOKUP(A49,'سود سپرده بانکی'!$A$7:$N$120,8,0)</f>
        <v>0</v>
      </c>
      <c r="F49" s="7"/>
      <c r="G49" s="107">
        <f t="shared" si="0"/>
        <v>0</v>
      </c>
      <c r="H49" s="7"/>
      <c r="I49" s="68">
        <f>VLOOKUP(A49,'سود سپرده بانکی'!$A$7:$N$120,14,0)</f>
        <v>883561645</v>
      </c>
      <c r="J49" s="7"/>
      <c r="K49" s="107">
        <f t="shared" si="1"/>
        <v>3.6462653503313742E-3</v>
      </c>
      <c r="L49" s="139"/>
    </row>
    <row r="50" spans="1:12">
      <c r="A50" s="180" t="s">
        <v>123</v>
      </c>
      <c r="B50" s="7"/>
      <c r="C50" s="185">
        <v>2093071522726810</v>
      </c>
      <c r="D50" s="7"/>
      <c r="E50" s="68">
        <f>VLOOKUP(A50,'سود سپرده بانکی'!$A$7:$N$120,8,0)</f>
        <v>0</v>
      </c>
      <c r="F50" s="7"/>
      <c r="G50" s="107">
        <f t="shared" si="0"/>
        <v>0</v>
      </c>
      <c r="H50" s="7"/>
      <c r="I50" s="68">
        <f>VLOOKUP(A50,'سود سپرده بانکی'!$A$7:$N$120,14,0)</f>
        <v>80136988.301886797</v>
      </c>
      <c r="J50" s="7"/>
      <c r="K50" s="107">
        <f t="shared" si="1"/>
        <v>3.3070779540807308E-4</v>
      </c>
      <c r="L50" s="139"/>
    </row>
    <row r="51" spans="1:12">
      <c r="A51" s="180" t="s">
        <v>124</v>
      </c>
      <c r="B51" s="7"/>
      <c r="C51" s="185">
        <v>209306152272682</v>
      </c>
      <c r="D51" s="7"/>
      <c r="E51" s="68">
        <f>VLOOKUP(A51,'سود سپرده بانکی'!$A$7:$N$120,8,0)</f>
        <v>0</v>
      </c>
      <c r="F51" s="7"/>
      <c r="G51" s="107">
        <f t="shared" si="0"/>
        <v>0</v>
      </c>
      <c r="H51" s="7"/>
      <c r="I51" s="68">
        <f>VLOOKUP(A51,'سود سپرده بانکی'!$A$7:$N$120,14,0)</f>
        <v>51828902.830188677</v>
      </c>
      <c r="J51" s="7"/>
      <c r="K51" s="107">
        <f t="shared" si="1"/>
        <v>2.1388652801402293E-4</v>
      </c>
      <c r="L51" s="139"/>
    </row>
    <row r="52" spans="1:12">
      <c r="A52" s="180" t="s">
        <v>133</v>
      </c>
      <c r="B52" s="7"/>
      <c r="C52" s="185">
        <v>209306152272683</v>
      </c>
      <c r="D52" s="7"/>
      <c r="E52" s="68">
        <f>VLOOKUP(A52,'سود سپرده بانکی'!$A$7:$N$120,8,0)</f>
        <v>0</v>
      </c>
      <c r="F52" s="7"/>
      <c r="G52" s="107">
        <f t="shared" si="0"/>
        <v>0</v>
      </c>
      <c r="H52" s="7"/>
      <c r="I52" s="68">
        <f>VLOOKUP(A52,'سود سپرده بانکی'!$A$7:$N$120,14,0)</f>
        <v>40068495</v>
      </c>
      <c r="J52" s="7"/>
      <c r="K52" s="107">
        <f t="shared" si="1"/>
        <v>1.6535390120790713E-4</v>
      </c>
      <c r="L52" s="139"/>
    </row>
    <row r="53" spans="1:12">
      <c r="A53" s="180" t="s">
        <v>134</v>
      </c>
      <c r="B53" s="7"/>
      <c r="C53" s="185">
        <v>406996080002</v>
      </c>
      <c r="D53" s="7"/>
      <c r="E53" s="68">
        <f>VLOOKUP(A53,'سود سپرده بانکی'!$A$7:$N$120,8,0)</f>
        <v>0</v>
      </c>
      <c r="F53" s="7"/>
      <c r="G53" s="107">
        <f t="shared" si="0"/>
        <v>0</v>
      </c>
      <c r="H53" s="7"/>
      <c r="I53" s="68">
        <f>VLOOKUP(A53,'سود سپرده بانکی'!$A$7:$N$120,14,0)</f>
        <v>920809462.92452824</v>
      </c>
      <c r="J53" s="7"/>
      <c r="K53" s="107">
        <f t="shared" si="1"/>
        <v>3.7999789351641101E-3</v>
      </c>
      <c r="L53" s="139"/>
    </row>
    <row r="54" spans="1:12">
      <c r="A54" s="180" t="s">
        <v>129</v>
      </c>
      <c r="B54" s="7"/>
      <c r="C54" s="185">
        <v>104458815</v>
      </c>
      <c r="D54" s="7"/>
      <c r="E54" s="68">
        <f>VLOOKUP(A54,'سود سپرده بانکی'!$A$7:$N$120,8,0)</f>
        <v>0</v>
      </c>
      <c r="F54" s="7"/>
      <c r="G54" s="107">
        <f t="shared" si="0"/>
        <v>0</v>
      </c>
      <c r="H54" s="7"/>
      <c r="I54" s="68">
        <f>VLOOKUP(A54,'سود سپرده بانکی'!$A$7:$N$120,14,0)</f>
        <v>276756</v>
      </c>
      <c r="J54" s="7"/>
      <c r="K54" s="107">
        <f t="shared" si="1"/>
        <v>1.1421113840860643E-6</v>
      </c>
      <c r="L54" s="139"/>
    </row>
    <row r="55" spans="1:12">
      <c r="A55" s="180" t="s">
        <v>135</v>
      </c>
      <c r="B55" s="7"/>
      <c r="C55" s="185">
        <v>6174547090</v>
      </c>
      <c r="D55" s="7"/>
      <c r="E55" s="68">
        <f>VLOOKUP(A55,'سود سپرده بانکی'!$A$7:$N$120,8,0)</f>
        <v>0</v>
      </c>
      <c r="F55" s="7"/>
      <c r="G55" s="107">
        <f t="shared" si="0"/>
        <v>0</v>
      </c>
      <c r="H55" s="7"/>
      <c r="I55" s="68">
        <f>VLOOKUP(A55,'سود سپرده بانکی'!$A$7:$N$120,14,0)</f>
        <v>2568975880</v>
      </c>
      <c r="J55" s="7"/>
      <c r="K55" s="107">
        <f t="shared" si="1"/>
        <v>1.0601600680709778E-2</v>
      </c>
      <c r="L55" s="139"/>
    </row>
    <row r="56" spans="1:12">
      <c r="A56" s="180" t="s">
        <v>131</v>
      </c>
      <c r="B56" s="7"/>
      <c r="C56" s="185">
        <v>2093071522726810</v>
      </c>
      <c r="D56" s="7"/>
      <c r="E56" s="68">
        <f>VLOOKUP(A56,'سود سپرده بانکی'!$A$7:$N$120,8,0)</f>
        <v>0</v>
      </c>
      <c r="F56" s="7"/>
      <c r="G56" s="107">
        <f t="shared" si="0"/>
        <v>0</v>
      </c>
      <c r="H56" s="7"/>
      <c r="I56" s="68">
        <f>VLOOKUP(A56,'سود سپرده بانکی'!$A$7:$N$120,14,0)</f>
        <v>1208835618.3333333</v>
      </c>
      <c r="J56" s="7"/>
      <c r="K56" s="107">
        <f t="shared" si="1"/>
        <v>4.9885997817110256E-3</v>
      </c>
      <c r="L56" s="139"/>
    </row>
    <row r="57" spans="1:12">
      <c r="A57" s="180" t="s">
        <v>136</v>
      </c>
      <c r="B57" s="7"/>
      <c r="C57" s="185">
        <v>2093071522726810</v>
      </c>
      <c r="D57" s="7"/>
      <c r="E57" s="68">
        <f>VLOOKUP(A57,'سود سپرده بانکی'!$A$7:$N$120,8,0)</f>
        <v>0</v>
      </c>
      <c r="F57" s="7"/>
      <c r="G57" s="107">
        <f t="shared" si="0"/>
        <v>0</v>
      </c>
      <c r="H57" s="7"/>
      <c r="I57" s="68">
        <f>VLOOKUP(A57,'سود سپرده بانکی'!$A$7:$N$120,14,0)</f>
        <v>2904567523.3333335</v>
      </c>
      <c r="J57" s="7"/>
      <c r="K57" s="107">
        <f t="shared" si="1"/>
        <v>1.19865138759256E-2</v>
      </c>
      <c r="L57" s="139"/>
    </row>
    <row r="58" spans="1:12">
      <c r="A58" s="180" t="s">
        <v>169</v>
      </c>
      <c r="B58" s="7"/>
      <c r="C58" s="185">
        <v>24845478</v>
      </c>
      <c r="D58" s="7"/>
      <c r="E58" s="68">
        <f>VLOOKUP(A58,'سود سپرده بانکی'!$A$7:$N$120,8,0)</f>
        <v>3262</v>
      </c>
      <c r="F58" s="7"/>
      <c r="G58" s="107">
        <f t="shared" si="0"/>
        <v>7.6574202559920425E-7</v>
      </c>
      <c r="H58" s="7"/>
      <c r="I58" s="68">
        <f>VLOOKUP(A58,'سود سپرده بانکی'!$A$7:$N$120,14,0)</f>
        <v>3226143971</v>
      </c>
      <c r="J58" s="7"/>
      <c r="K58" s="107">
        <f t="shared" si="1"/>
        <v>1.33135894288822E-2</v>
      </c>
      <c r="L58" s="139"/>
    </row>
    <row r="59" spans="1:12">
      <c r="A59" s="180" t="s">
        <v>142</v>
      </c>
      <c r="B59" s="7"/>
      <c r="C59" s="185">
        <v>7001003242019</v>
      </c>
      <c r="D59" s="7"/>
      <c r="E59" s="68">
        <f>VLOOKUP(A59,'سود سپرده بانکی'!$A$7:$N$120,8,0)</f>
        <v>8941</v>
      </c>
      <c r="F59" s="7"/>
      <c r="G59" s="107">
        <f t="shared" si="0"/>
        <v>2.0988655582104493E-6</v>
      </c>
      <c r="H59" s="7"/>
      <c r="I59" s="68">
        <f>VLOOKUP(A59,'سود سپرده بانکی'!$A$7:$N$120,14,0)</f>
        <v>297005193</v>
      </c>
      <c r="J59" s="7"/>
      <c r="K59" s="107">
        <f t="shared" si="1"/>
        <v>1.2256753676812017E-3</v>
      </c>
      <c r="L59" s="139"/>
    </row>
    <row r="60" spans="1:12">
      <c r="A60" s="180" t="s">
        <v>132</v>
      </c>
      <c r="B60" s="7"/>
      <c r="C60" s="185">
        <v>7001003214661</v>
      </c>
      <c r="D60" s="7"/>
      <c r="E60" s="68">
        <f>VLOOKUP(A60,'سود سپرده بانکی'!$A$7:$N$120,8,0)</f>
        <v>0</v>
      </c>
      <c r="F60" s="7"/>
      <c r="G60" s="107">
        <f t="shared" si="0"/>
        <v>0</v>
      </c>
      <c r="H60" s="7"/>
      <c r="I60" s="68">
        <f>VLOOKUP(A60,'سود سپرده بانکی'!$A$7:$N$120,14,0)</f>
        <v>303333906</v>
      </c>
      <c r="J60" s="7"/>
      <c r="K60" s="107">
        <f t="shared" si="1"/>
        <v>1.2517925798244379E-3</v>
      </c>
      <c r="L60" s="139"/>
    </row>
    <row r="61" spans="1:12">
      <c r="A61" s="180" t="s">
        <v>137</v>
      </c>
      <c r="B61" s="7"/>
      <c r="C61" s="185">
        <v>7001003214649</v>
      </c>
      <c r="D61" s="7"/>
      <c r="E61" s="68">
        <f>VLOOKUP(A61,'سود سپرده بانکی'!$A$7:$N$120,8,0)</f>
        <v>0</v>
      </c>
      <c r="F61" s="7"/>
      <c r="G61" s="107">
        <f t="shared" si="0"/>
        <v>0</v>
      </c>
      <c r="H61" s="7"/>
      <c r="I61" s="68">
        <f>VLOOKUP(A61,'سود سپرده بانکی'!$A$7:$N$120,14,0)</f>
        <v>5942619864</v>
      </c>
      <c r="J61" s="7"/>
      <c r="K61" s="107">
        <f t="shared" si="1"/>
        <v>2.452389035096034E-2</v>
      </c>
      <c r="L61" s="139"/>
    </row>
    <row r="62" spans="1:12">
      <c r="A62" s="180" t="s">
        <v>143</v>
      </c>
      <c r="B62" s="7"/>
      <c r="C62" s="185">
        <v>7001003258678</v>
      </c>
      <c r="D62" s="7"/>
      <c r="E62" s="68">
        <f>VLOOKUP(A62,'سود سپرده بانکی'!$A$7:$N$120,8,0)</f>
        <v>0</v>
      </c>
      <c r="F62" s="7"/>
      <c r="G62" s="107">
        <f t="shared" si="0"/>
        <v>0</v>
      </c>
      <c r="H62" s="7"/>
      <c r="I62" s="68">
        <f>VLOOKUP(A62,'سود سپرده بانکی'!$A$7:$N$120,14,0)</f>
        <v>38065069</v>
      </c>
      <c r="J62" s="7"/>
      <c r="K62" s="107">
        <f t="shared" si="1"/>
        <v>1.5708620098903563E-4</v>
      </c>
      <c r="L62" s="139"/>
    </row>
    <row r="63" spans="1:12">
      <c r="A63" s="180" t="s">
        <v>158</v>
      </c>
      <c r="B63" s="7"/>
      <c r="C63" s="185">
        <v>7001003258695</v>
      </c>
      <c r="D63" s="7"/>
      <c r="E63" s="68">
        <f>VLOOKUP(A63,'سود سپرده بانکی'!$A$7:$N$120,8,0)</f>
        <v>0</v>
      </c>
      <c r="F63" s="7"/>
      <c r="G63" s="107">
        <f t="shared" si="0"/>
        <v>0</v>
      </c>
      <c r="H63" s="7"/>
      <c r="I63" s="68">
        <f>VLOOKUP(A63,'سود سپرده بانکی'!$A$7:$N$120,14,0)</f>
        <v>10861662328</v>
      </c>
      <c r="J63" s="7"/>
      <c r="K63" s="107">
        <f t="shared" si="1"/>
        <v>4.4823701003438202E-2</v>
      </c>
      <c r="L63" s="139"/>
    </row>
    <row r="64" spans="1:12">
      <c r="A64" s="180" t="s">
        <v>140</v>
      </c>
      <c r="B64" s="7"/>
      <c r="C64" s="185">
        <v>7001003258763</v>
      </c>
      <c r="D64" s="7"/>
      <c r="E64" s="68">
        <f>VLOOKUP(A64,'سود سپرده بانکی'!$A$7:$N$120,8,0)</f>
        <v>0</v>
      </c>
      <c r="F64" s="7"/>
      <c r="G64" s="107">
        <f t="shared" si="0"/>
        <v>0</v>
      </c>
      <c r="H64" s="7"/>
      <c r="I64" s="68">
        <f>VLOOKUP(A64,'سود سپرده بانکی'!$A$7:$N$120,14,0)</f>
        <v>64417808</v>
      </c>
      <c r="J64" s="7"/>
      <c r="K64" s="107">
        <f t="shared" si="1"/>
        <v>2.6583818184491159E-4</v>
      </c>
      <c r="L64" s="139"/>
    </row>
    <row r="65" spans="1:12">
      <c r="A65" s="180" t="s">
        <v>152</v>
      </c>
      <c r="B65" s="7"/>
      <c r="C65" s="185">
        <v>7001003258822</v>
      </c>
      <c r="D65" s="7"/>
      <c r="E65" s="68">
        <f>VLOOKUP(A65,'سود سپرده بانکی'!$A$7:$N$120,8,0)</f>
        <v>0</v>
      </c>
      <c r="F65" s="7"/>
      <c r="G65" s="107">
        <f t="shared" si="0"/>
        <v>0</v>
      </c>
      <c r="H65" s="7"/>
      <c r="I65" s="68">
        <f>VLOOKUP(A65,'سود سپرده بانکی'!$A$7:$N$120,14,0)</f>
        <v>309673973</v>
      </c>
      <c r="J65" s="7"/>
      <c r="K65" s="107">
        <f t="shared" si="1"/>
        <v>1.2779566474383952E-3</v>
      </c>
      <c r="L65" s="139"/>
    </row>
    <row r="66" spans="1:12">
      <c r="A66" s="180" t="s">
        <v>154</v>
      </c>
      <c r="B66" s="7"/>
      <c r="C66" s="185">
        <v>7001003259908</v>
      </c>
      <c r="D66" s="7"/>
      <c r="E66" s="68">
        <f>VLOOKUP(A66,'سود سپرده بانکی'!$A$7:$N$120,8,0)</f>
        <v>0</v>
      </c>
      <c r="F66" s="7"/>
      <c r="G66" s="107">
        <f t="shared" si="0"/>
        <v>0</v>
      </c>
      <c r="H66" s="7"/>
      <c r="I66" s="68">
        <f>VLOOKUP(A66,'سود سپرده بانکی'!$A$7:$N$120,14,0)</f>
        <v>25767124</v>
      </c>
      <c r="J66" s="7"/>
      <c r="K66" s="107">
        <f t="shared" si="1"/>
        <v>1.0633527603938938E-4</v>
      </c>
      <c r="L66" s="139"/>
    </row>
    <row r="67" spans="1:12">
      <c r="A67" s="180" t="s">
        <v>141</v>
      </c>
      <c r="B67" s="7"/>
      <c r="C67" s="185">
        <v>7001003260318</v>
      </c>
      <c r="D67" s="7"/>
      <c r="E67" s="68">
        <f>VLOOKUP(A67,'سود سپرده بانکی'!$A$7:$N$120,8,0)</f>
        <v>0</v>
      </c>
      <c r="F67" s="7"/>
      <c r="G67" s="107">
        <f t="shared" si="0"/>
        <v>0</v>
      </c>
      <c r="H67" s="7"/>
      <c r="I67" s="68">
        <f>VLOOKUP(A67,'سود سپرده بانکی'!$A$7:$N$120,14,0)</f>
        <v>81986301</v>
      </c>
      <c r="J67" s="7"/>
      <c r="K67" s="107">
        <f t="shared" si="1"/>
        <v>3.383395037910892E-4</v>
      </c>
      <c r="L67" s="139"/>
    </row>
    <row r="68" spans="1:12">
      <c r="A68" s="180" t="s">
        <v>145</v>
      </c>
      <c r="B68" s="7"/>
      <c r="C68" s="185">
        <v>7001003316349</v>
      </c>
      <c r="D68" s="7"/>
      <c r="E68" s="68">
        <f>VLOOKUP(A68,'سود سپرده بانکی'!$A$7:$N$120,8,0)</f>
        <v>0</v>
      </c>
      <c r="F68" s="7"/>
      <c r="G68" s="107">
        <f t="shared" si="0"/>
        <v>0</v>
      </c>
      <c r="H68" s="7"/>
      <c r="I68" s="68">
        <f>VLOOKUP(A68,'سود سپرده بانکی'!$A$7:$N$120,14,0)</f>
        <v>1510273972</v>
      </c>
      <c r="J68" s="7"/>
      <c r="K68" s="107">
        <f t="shared" si="1"/>
        <v>6.2325698323074403E-3</v>
      </c>
      <c r="L68" s="139"/>
    </row>
    <row r="69" spans="1:12">
      <c r="A69" s="180" t="s">
        <v>153</v>
      </c>
      <c r="B69" s="7"/>
      <c r="C69" s="185">
        <v>7001003316350</v>
      </c>
      <c r="D69" s="7"/>
      <c r="E69" s="68">
        <f>VLOOKUP(A69,'سود سپرده بانکی'!$A$7:$N$120,8,0)</f>
        <v>0</v>
      </c>
      <c r="F69" s="7"/>
      <c r="G69" s="107">
        <f t="shared" si="0"/>
        <v>0</v>
      </c>
      <c r="H69" s="7"/>
      <c r="I69" s="68">
        <f>VLOOKUP(A69,'سود سپرده بانکی'!$A$7:$N$120,14,0)</f>
        <v>102914383</v>
      </c>
      <c r="J69" s="7"/>
      <c r="K69" s="107">
        <f t="shared" si="1"/>
        <v>4.2470511356752278E-4</v>
      </c>
      <c r="L69" s="139"/>
    </row>
    <row r="70" spans="1:12">
      <c r="A70" s="180" t="s">
        <v>151</v>
      </c>
      <c r="B70" s="7"/>
      <c r="C70" s="185">
        <v>7001003316357</v>
      </c>
      <c r="D70" s="7"/>
      <c r="E70" s="68">
        <f>VLOOKUP(A70,'سود سپرده بانکی'!$A$7:$N$120,8,0)</f>
        <v>0</v>
      </c>
      <c r="F70" s="7"/>
      <c r="G70" s="107">
        <f t="shared" si="0"/>
        <v>0</v>
      </c>
      <c r="H70" s="7"/>
      <c r="I70" s="68">
        <f>VLOOKUP(A70,'سود سپرده بانکی'!$A$7:$N$120,14,0)</f>
        <v>440228528</v>
      </c>
      <c r="J70" s="7"/>
      <c r="K70" s="107">
        <f t="shared" si="1"/>
        <v>1.8167266958196056E-3</v>
      </c>
      <c r="L70" s="139"/>
    </row>
    <row r="71" spans="1:12">
      <c r="A71" s="180" t="s">
        <v>160</v>
      </c>
      <c r="B71" s="7"/>
      <c r="C71" s="185">
        <v>7001003316468</v>
      </c>
      <c r="D71" s="7"/>
      <c r="E71" s="68">
        <f>VLOOKUP(A71,'سود سپرده بانکی'!$A$7:$N$120,8,0)</f>
        <v>0</v>
      </c>
      <c r="F71" s="7"/>
      <c r="G71" s="107">
        <f t="shared" si="0"/>
        <v>0</v>
      </c>
      <c r="H71" s="7"/>
      <c r="I71" s="68">
        <f>VLOOKUP(A71,'سود سپرده بانکی'!$A$7:$N$120,14,0)</f>
        <v>257307534</v>
      </c>
      <c r="J71" s="7"/>
      <c r="K71" s="107">
        <f t="shared" si="1"/>
        <v>1.0618518254076228E-3</v>
      </c>
      <c r="L71" s="139"/>
    </row>
    <row r="72" spans="1:12">
      <c r="A72" s="180" t="s">
        <v>157</v>
      </c>
      <c r="B72" s="7"/>
      <c r="C72" s="185">
        <v>7001003317861</v>
      </c>
      <c r="D72" s="7"/>
      <c r="E72" s="68">
        <f>VLOOKUP(A72,'سود سپرده بانکی'!$A$7:$N$120,8,0)</f>
        <v>0</v>
      </c>
      <c r="F72" s="7"/>
      <c r="G72" s="107">
        <f t="shared" si="0"/>
        <v>0</v>
      </c>
      <c r="H72" s="7"/>
      <c r="I72" s="68">
        <f>VLOOKUP(A72,'سود سپرده بانکی'!$A$7:$N$120,14,0)</f>
        <v>50312468</v>
      </c>
      <c r="J72" s="7"/>
      <c r="K72" s="107">
        <f t="shared" si="1"/>
        <v>2.0762853366960724E-4</v>
      </c>
      <c r="L72" s="139"/>
    </row>
    <row r="73" spans="1:12">
      <c r="A73" s="180" t="s">
        <v>161</v>
      </c>
      <c r="B73" s="7"/>
      <c r="C73" s="185">
        <v>7001003345278</v>
      </c>
      <c r="D73" s="7"/>
      <c r="E73" s="68">
        <f>VLOOKUP(A73,'سود سپرده بانکی'!$A$7:$N$120,8,0)</f>
        <v>0</v>
      </c>
      <c r="F73" s="7"/>
      <c r="G73" s="107">
        <f t="shared" ref="G73:G121" si="2">E73/$E$122</f>
        <v>0</v>
      </c>
      <c r="H73" s="7"/>
      <c r="I73" s="68">
        <f>VLOOKUP(A73,'سود سپرده بانکی'!$A$7:$N$120,14,0)</f>
        <v>687476712</v>
      </c>
      <c r="J73" s="7"/>
      <c r="K73" s="107">
        <f t="shared" ref="K73:K121" si="3">I73/$I$122</f>
        <v>2.8370657874418502E-3</v>
      </c>
      <c r="L73" s="139"/>
    </row>
    <row r="74" spans="1:12">
      <c r="A74" s="180" t="s">
        <v>146</v>
      </c>
      <c r="B74" s="7"/>
      <c r="C74" s="185">
        <v>7001003356883</v>
      </c>
      <c r="D74" s="7"/>
      <c r="E74" s="68">
        <f>VLOOKUP(A74,'سود سپرده بانکی'!$A$7:$N$120,8,0)</f>
        <v>0</v>
      </c>
      <c r="F74" s="7"/>
      <c r="G74" s="107">
        <f t="shared" si="2"/>
        <v>0</v>
      </c>
      <c r="H74" s="7"/>
      <c r="I74" s="68">
        <f>VLOOKUP(A74,'سود سپرده بانکی'!$A$7:$N$120,14,0)</f>
        <v>241742466</v>
      </c>
      <c r="J74" s="7"/>
      <c r="K74" s="107">
        <f t="shared" si="3"/>
        <v>9.9761819955353583E-4</v>
      </c>
      <c r="L74" s="139"/>
    </row>
    <row r="75" spans="1:12">
      <c r="A75" s="180" t="s">
        <v>149</v>
      </c>
      <c r="B75" s="7"/>
      <c r="C75" s="185">
        <v>7001003356893</v>
      </c>
      <c r="D75" s="7"/>
      <c r="E75" s="68">
        <f>VLOOKUP(A75,'سود سپرده بانکی'!$A$7:$N$120,8,0)</f>
        <v>0</v>
      </c>
      <c r="F75" s="7"/>
      <c r="G75" s="107">
        <f t="shared" si="2"/>
        <v>0</v>
      </c>
      <c r="H75" s="7"/>
      <c r="I75" s="68">
        <f>VLOOKUP(A75,'سود سپرده بانکی'!$A$7:$N$120,14,0)</f>
        <v>520890410</v>
      </c>
      <c r="J75" s="7"/>
      <c r="K75" s="107">
        <f t="shared" si="3"/>
        <v>2.1496006125332695E-3</v>
      </c>
      <c r="L75" s="139"/>
    </row>
    <row r="76" spans="1:12">
      <c r="A76" s="180" t="s">
        <v>178</v>
      </c>
      <c r="B76" s="7"/>
      <c r="C76" s="185">
        <v>7001003359645</v>
      </c>
      <c r="D76" s="7"/>
      <c r="E76" s="68">
        <f>VLOOKUP(A76,'سود سپرده بانکی'!$A$7:$N$120,8,0)</f>
        <v>0</v>
      </c>
      <c r="F76" s="7"/>
      <c r="G76" s="107">
        <f t="shared" si="2"/>
        <v>0</v>
      </c>
      <c r="H76" s="7"/>
      <c r="I76" s="68">
        <f>VLOOKUP(A76,'سود سپرده بانکی'!$A$7:$N$120,14,0)</f>
        <v>1980376028</v>
      </c>
      <c r="J76" s="7"/>
      <c r="K76" s="107">
        <f t="shared" si="3"/>
        <v>8.1725780338996901E-3</v>
      </c>
      <c r="L76" s="139"/>
    </row>
    <row r="77" spans="1:12">
      <c r="A77" s="180" t="s">
        <v>179</v>
      </c>
      <c r="B77" s="7"/>
      <c r="C77" s="185">
        <v>7001003373626</v>
      </c>
      <c r="D77" s="7"/>
      <c r="E77" s="68">
        <f>VLOOKUP(A77,'سود سپرده بانکی'!$A$7:$N$120,8,0)</f>
        <v>0</v>
      </c>
      <c r="F77" s="7"/>
      <c r="G77" s="107">
        <f t="shared" si="2"/>
        <v>0</v>
      </c>
      <c r="H77" s="7"/>
      <c r="I77" s="68">
        <f>VLOOKUP(A77,'سود سپرده بانکی'!$A$7:$N$120,14,0)</f>
        <v>51047260</v>
      </c>
      <c r="J77" s="7"/>
      <c r="K77" s="107">
        <f t="shared" si="3"/>
        <v>2.1066085928543983E-4</v>
      </c>
      <c r="L77" s="139"/>
    </row>
    <row r="78" spans="1:12">
      <c r="A78" s="180" t="s">
        <v>174</v>
      </c>
      <c r="B78" s="7"/>
      <c r="C78" s="185">
        <v>7001003373974</v>
      </c>
      <c r="D78" s="7"/>
      <c r="E78" s="68">
        <f>VLOOKUP(A78,'سود سپرده بانکی'!$A$7:$N$120,8,0)</f>
        <v>0</v>
      </c>
      <c r="F78" s="7"/>
      <c r="G78" s="107">
        <f t="shared" si="2"/>
        <v>0</v>
      </c>
      <c r="H78" s="7"/>
      <c r="I78" s="68">
        <f>VLOOKUP(A78,'سود سپرده بانکی'!$A$7:$N$120,14,0)</f>
        <v>1144599041</v>
      </c>
      <c r="J78" s="7"/>
      <c r="K78" s="107">
        <f t="shared" si="3"/>
        <v>4.7235094991259158E-3</v>
      </c>
      <c r="L78" s="139"/>
    </row>
    <row r="79" spans="1:12">
      <c r="A79" s="180" t="s">
        <v>172</v>
      </c>
      <c r="B79" s="7"/>
      <c r="C79" s="185">
        <v>7001003374148</v>
      </c>
      <c r="D79" s="7"/>
      <c r="E79" s="68">
        <f>VLOOKUP(A79,'سود سپرده بانکی'!$A$7:$N$120,8,0)</f>
        <v>0</v>
      </c>
      <c r="F79" s="7"/>
      <c r="G79" s="107">
        <f t="shared" si="2"/>
        <v>0</v>
      </c>
      <c r="H79" s="7"/>
      <c r="I79" s="68">
        <f>VLOOKUP(A79,'سود سپرده بانکی'!$A$7:$N$120,14,0)</f>
        <v>2221234517</v>
      </c>
      <c r="J79" s="7"/>
      <c r="K79" s="107">
        <f t="shared" si="3"/>
        <v>9.1665482540237986E-3</v>
      </c>
      <c r="L79" s="139"/>
    </row>
    <row r="80" spans="1:12">
      <c r="A80" s="180" t="s">
        <v>171</v>
      </c>
      <c r="B80" s="7"/>
      <c r="C80" s="185">
        <v>7001003374230</v>
      </c>
      <c r="D80" s="7"/>
      <c r="E80" s="68">
        <f>VLOOKUP(A80,'سود سپرده بانکی'!$A$7:$N$120,8,0)</f>
        <v>0</v>
      </c>
      <c r="F80" s="7"/>
      <c r="G80" s="107">
        <f t="shared" si="2"/>
        <v>0</v>
      </c>
      <c r="H80" s="7"/>
      <c r="I80" s="68">
        <f>VLOOKUP(A80,'سود سپرده بانکی'!$A$7:$N$120,14,0)</f>
        <v>308958904</v>
      </c>
      <c r="J80" s="7"/>
      <c r="K80" s="107">
        <f t="shared" si="3"/>
        <v>1.2750057143229179E-3</v>
      </c>
      <c r="L80" s="139"/>
    </row>
    <row r="81" spans="1:12">
      <c r="A81" s="180" t="s">
        <v>170</v>
      </c>
      <c r="B81" s="7"/>
      <c r="C81" s="185">
        <v>7001003374403</v>
      </c>
      <c r="D81" s="7"/>
      <c r="E81" s="68">
        <f>VLOOKUP(A81,'سود سپرده بانکی'!$A$7:$N$120,8,0)</f>
        <v>36616438</v>
      </c>
      <c r="F81" s="7"/>
      <c r="G81" s="107">
        <f t="shared" si="2"/>
        <v>8.5955687934848781E-3</v>
      </c>
      <c r="H81" s="7"/>
      <c r="I81" s="68">
        <f>VLOOKUP(A81,'سود سپرده بانکی'!$A$7:$N$120,14,0)</f>
        <v>333271233</v>
      </c>
      <c r="J81" s="7"/>
      <c r="K81" s="107">
        <f t="shared" si="3"/>
        <v>1.3753373700938706E-3</v>
      </c>
      <c r="L81" s="139"/>
    </row>
    <row r="82" spans="1:12">
      <c r="A82" s="180" t="s">
        <v>168</v>
      </c>
      <c r="B82" s="7"/>
      <c r="C82" s="185">
        <v>7001003374469</v>
      </c>
      <c r="D82" s="7"/>
      <c r="E82" s="68">
        <f>VLOOKUP(A82,'سود سپرده بانکی'!$A$7:$N$120,8,0)</f>
        <v>0</v>
      </c>
      <c r="F82" s="7"/>
      <c r="G82" s="107">
        <f t="shared" si="2"/>
        <v>0</v>
      </c>
      <c r="H82" s="7"/>
      <c r="I82" s="68">
        <f>VLOOKUP(A82,'سود سپرده بانکی'!$A$7:$N$120,14,0)</f>
        <v>22654110</v>
      </c>
      <c r="J82" s="7"/>
      <c r="K82" s="107">
        <f t="shared" si="3"/>
        <v>9.3488549217859597E-5</v>
      </c>
      <c r="L82" s="139"/>
    </row>
    <row r="83" spans="1:12">
      <c r="A83" s="180" t="s">
        <v>167</v>
      </c>
      <c r="B83" s="7"/>
      <c r="C83" s="185">
        <v>7001003374932</v>
      </c>
      <c r="D83" s="7"/>
      <c r="E83" s="68">
        <f>VLOOKUP(A83,'سود سپرده بانکی'!$A$7:$N$120,8,0)</f>
        <v>0</v>
      </c>
      <c r="F83" s="7"/>
      <c r="G83" s="107">
        <f t="shared" si="2"/>
        <v>0</v>
      </c>
      <c r="H83" s="7"/>
      <c r="I83" s="68">
        <f>VLOOKUP(A83,'سود سپرده بانکی'!$A$7:$N$120,14,0)</f>
        <v>696729452</v>
      </c>
      <c r="J83" s="7"/>
      <c r="K83" s="107">
        <f t="shared" si="3"/>
        <v>2.8752498184582997E-3</v>
      </c>
      <c r="L83" s="139"/>
    </row>
    <row r="84" spans="1:12">
      <c r="A84" s="180" t="s">
        <v>180</v>
      </c>
      <c r="B84" s="7"/>
      <c r="C84" s="185">
        <v>7001003374935</v>
      </c>
      <c r="D84" s="7"/>
      <c r="E84" s="68">
        <f>VLOOKUP(A84,'سود سپرده بانکی'!$A$7:$N$120,8,0)</f>
        <v>40500000</v>
      </c>
      <c r="F84" s="7"/>
      <c r="G84" s="107">
        <f t="shared" si="2"/>
        <v>9.5072201216332836E-3</v>
      </c>
      <c r="H84" s="7"/>
      <c r="I84" s="68">
        <f>VLOOKUP(A84,'سود سپرده بانکی'!$A$7:$N$120,14,0)</f>
        <v>367200000</v>
      </c>
      <c r="J84" s="7"/>
      <c r="K84" s="107">
        <f t="shared" si="3"/>
        <v>1.5153539588532961E-3</v>
      </c>
      <c r="L84" s="139"/>
    </row>
    <row r="85" spans="1:12">
      <c r="A85" s="180" t="s">
        <v>175</v>
      </c>
      <c r="B85" s="7"/>
      <c r="C85" s="185">
        <v>7001003375223</v>
      </c>
      <c r="D85" s="7"/>
      <c r="E85" s="68">
        <f>VLOOKUP(A85,'سود سپرده بانکی'!$A$7:$N$120,8,0)</f>
        <v>0</v>
      </c>
      <c r="F85" s="7"/>
      <c r="G85" s="107">
        <f t="shared" si="2"/>
        <v>0</v>
      </c>
      <c r="H85" s="7"/>
      <c r="I85" s="68">
        <f>VLOOKUP(A85,'سود سپرده بانکی'!$A$7:$N$120,14,0)</f>
        <v>33232806</v>
      </c>
      <c r="J85" s="7"/>
      <c r="K85" s="107">
        <f t="shared" si="3"/>
        <v>1.3714451017402934E-4</v>
      </c>
      <c r="L85" s="139"/>
    </row>
    <row r="86" spans="1:12">
      <c r="A86" s="180" t="s">
        <v>166</v>
      </c>
      <c r="B86" s="7"/>
      <c r="C86" s="185">
        <v>7001003400845</v>
      </c>
      <c r="D86" s="7"/>
      <c r="E86" s="68">
        <f>VLOOKUP(A86,'سود سپرده بانکی'!$A$7:$N$120,8,0)</f>
        <v>0</v>
      </c>
      <c r="F86" s="7"/>
      <c r="G86" s="107">
        <f t="shared" si="2"/>
        <v>0</v>
      </c>
      <c r="H86" s="7"/>
      <c r="I86" s="68">
        <f>VLOOKUP(A86,'سود سپرده بانکی'!$A$7:$N$120,14,0)</f>
        <v>12011301370</v>
      </c>
      <c r="J86" s="7"/>
      <c r="K86" s="107">
        <f t="shared" si="3"/>
        <v>4.956800948259673E-2</v>
      </c>
      <c r="L86" s="139"/>
    </row>
    <row r="87" spans="1:12">
      <c r="A87" s="180" t="s">
        <v>181</v>
      </c>
      <c r="B87" s="7"/>
      <c r="C87" s="185">
        <v>7001003400910</v>
      </c>
      <c r="D87" s="7"/>
      <c r="E87" s="68">
        <f>VLOOKUP(A87,'سود سپرده بانکی'!$A$7:$N$120,8,0)</f>
        <v>0</v>
      </c>
      <c r="F87" s="7"/>
      <c r="G87" s="107">
        <f t="shared" si="2"/>
        <v>0</v>
      </c>
      <c r="H87" s="7"/>
      <c r="I87" s="68">
        <f>VLOOKUP(A87,'سود سپرده بانکی'!$A$7:$N$120,14,0)</f>
        <v>292561643</v>
      </c>
      <c r="J87" s="7"/>
      <c r="K87" s="107">
        <f t="shared" si="3"/>
        <v>1.2073378102632755E-3</v>
      </c>
      <c r="L87" s="139"/>
    </row>
    <row r="88" spans="1:12">
      <c r="A88" s="180" t="s">
        <v>177</v>
      </c>
      <c r="B88" s="7"/>
      <c r="C88" s="185">
        <v>7001003400925</v>
      </c>
      <c r="D88" s="7"/>
      <c r="E88" s="68">
        <f>VLOOKUP(A88,'سود سپرده بانکی'!$A$7:$N$120,8,0)</f>
        <v>38373287</v>
      </c>
      <c r="F88" s="7"/>
      <c r="G88" s="107">
        <f t="shared" si="2"/>
        <v>9.0079823777681218E-3</v>
      </c>
      <c r="H88" s="7"/>
      <c r="I88" s="68">
        <f>VLOOKUP(A88,'سود سپرده بانکی'!$A$7:$N$120,14,0)</f>
        <v>338964052</v>
      </c>
      <c r="J88" s="7"/>
      <c r="K88" s="107">
        <f t="shared" si="3"/>
        <v>1.3988303870020547E-3</v>
      </c>
      <c r="L88" s="139"/>
    </row>
    <row r="89" spans="1:12">
      <c r="A89" s="180" t="s">
        <v>173</v>
      </c>
      <c r="B89" s="7"/>
      <c r="C89" s="185">
        <v>7001003401283</v>
      </c>
      <c r="D89" s="7"/>
      <c r="E89" s="68">
        <f>VLOOKUP(A89,'سود سپرده بانکی'!$A$7:$N$120,8,0)</f>
        <v>0</v>
      </c>
      <c r="F89" s="7"/>
      <c r="G89" s="107">
        <f t="shared" si="2"/>
        <v>0</v>
      </c>
      <c r="H89" s="7"/>
      <c r="I89" s="68">
        <f>VLOOKUP(A89,'سود سپرده بانکی'!$A$7:$N$120,14,0)</f>
        <v>530988904</v>
      </c>
      <c r="J89" s="7"/>
      <c r="K89" s="107">
        <f t="shared" si="3"/>
        <v>2.1912748850315164E-3</v>
      </c>
      <c r="L89" s="139"/>
    </row>
    <row r="90" spans="1:12">
      <c r="A90" s="180" t="s">
        <v>155</v>
      </c>
      <c r="B90" s="7"/>
      <c r="C90" s="185">
        <v>7001003260834</v>
      </c>
      <c r="D90" s="7"/>
      <c r="E90" s="68">
        <f>VLOOKUP(A90,'سود سپرده بانکی'!$A$7:$N$120,8,0)</f>
        <v>0</v>
      </c>
      <c r="F90" s="7"/>
      <c r="G90" s="107">
        <f t="shared" si="2"/>
        <v>0</v>
      </c>
      <c r="H90" s="7"/>
      <c r="I90" s="68">
        <f>VLOOKUP(A90,'سود سپرده بانکی'!$A$7:$N$120,14,0)</f>
        <v>5856165</v>
      </c>
      <c r="J90" s="7"/>
      <c r="K90" s="107">
        <f t="shared" si="3"/>
        <v>2.4167110066579827E-5</v>
      </c>
      <c r="L90" s="139"/>
    </row>
    <row r="91" spans="1:12">
      <c r="A91" s="180" t="s">
        <v>187</v>
      </c>
      <c r="B91" s="7"/>
      <c r="C91" s="185">
        <v>7001003527918</v>
      </c>
      <c r="D91" s="7"/>
      <c r="E91" s="68">
        <f>VLOOKUP(A91,'سود سپرده بانکی'!$A$7:$N$120,8,0)</f>
        <v>0</v>
      </c>
      <c r="F91" s="7"/>
      <c r="G91" s="107">
        <f t="shared" si="2"/>
        <v>0</v>
      </c>
      <c r="H91" s="7"/>
      <c r="I91" s="68">
        <f>VLOOKUP(A91,'سود سپرده بانکی'!$A$7:$N$120,14,0)</f>
        <v>825800240</v>
      </c>
      <c r="J91" s="7"/>
      <c r="K91" s="107">
        <f t="shared" si="3"/>
        <v>3.4078966854738618E-3</v>
      </c>
      <c r="L91" s="139"/>
    </row>
    <row r="92" spans="1:12">
      <c r="A92" s="180" t="s">
        <v>185</v>
      </c>
      <c r="B92" s="7"/>
      <c r="C92" s="185">
        <v>7001003556987</v>
      </c>
      <c r="D92" s="7"/>
      <c r="E92" s="68">
        <f>VLOOKUP(A92,'سود سپرده بانکی'!$A$7:$N$120,8,0)</f>
        <v>1586370205</v>
      </c>
      <c r="F92" s="7"/>
      <c r="G92" s="107">
        <f t="shared" si="2"/>
        <v>0.37239433909470415</v>
      </c>
      <c r="H92" s="7"/>
      <c r="I92" s="68">
        <f>VLOOKUP(A92,'سود سپرده بانکی'!$A$7:$N$120,14,0)</f>
        <v>11986409901</v>
      </c>
      <c r="J92" s="7"/>
      <c r="K92" s="107">
        <f t="shared" si="3"/>
        <v>4.9465287842915838E-2</v>
      </c>
      <c r="L92" s="139"/>
    </row>
    <row r="93" spans="1:12">
      <c r="A93" s="180" t="s">
        <v>210</v>
      </c>
      <c r="B93" s="7"/>
      <c r="C93" s="185">
        <v>7001003694335</v>
      </c>
      <c r="D93" s="7"/>
      <c r="E93" s="68">
        <f>VLOOKUP(A93,'سود سپرده بانکی'!$A$7:$N$120,8,0)</f>
        <v>0</v>
      </c>
      <c r="F93" s="7"/>
      <c r="G93" s="107">
        <f t="shared" si="2"/>
        <v>0</v>
      </c>
      <c r="H93" s="7"/>
      <c r="I93" s="68">
        <f>VLOOKUP(A93,'سود سپرده بانکی'!$A$7:$N$120,14,0)</f>
        <v>205648459</v>
      </c>
      <c r="J93" s="7"/>
      <c r="K93" s="107">
        <f t="shared" si="3"/>
        <v>8.4866613964523351E-4</v>
      </c>
      <c r="L93" s="139"/>
    </row>
    <row r="94" spans="1:12">
      <c r="A94" s="180" t="s">
        <v>209</v>
      </c>
      <c r="B94" s="7"/>
      <c r="C94" s="185">
        <v>7001003694342</v>
      </c>
      <c r="D94" s="7"/>
      <c r="E94" s="68">
        <f>VLOOKUP(A94,'سود سپرده بانکی'!$A$7:$N$120,8,0)</f>
        <v>0</v>
      </c>
      <c r="F94" s="7"/>
      <c r="G94" s="107">
        <f t="shared" si="2"/>
        <v>0</v>
      </c>
      <c r="H94" s="7"/>
      <c r="I94" s="68">
        <f>VLOOKUP(A94,'سود سپرده بانکی'!$A$7:$N$120,14,0)</f>
        <v>356377808</v>
      </c>
      <c r="J94" s="7"/>
      <c r="K94" s="107">
        <f t="shared" si="3"/>
        <v>1.4706931432468952E-3</v>
      </c>
      <c r="L94" s="139"/>
    </row>
    <row r="95" spans="1:12">
      <c r="A95" s="180" t="s">
        <v>208</v>
      </c>
      <c r="B95" s="7"/>
      <c r="C95" s="185">
        <v>7001003694358</v>
      </c>
      <c r="D95" s="7"/>
      <c r="E95" s="68">
        <f>VLOOKUP(A95,'سود سپرده بانکی'!$A$7:$N$120,8,0)</f>
        <v>0</v>
      </c>
      <c r="F95" s="7"/>
      <c r="G95" s="107">
        <f t="shared" si="2"/>
        <v>0</v>
      </c>
      <c r="H95" s="7"/>
      <c r="I95" s="68">
        <f>VLOOKUP(A95,'سود سپرده بانکی'!$A$7:$N$120,14,0)</f>
        <v>1386398219</v>
      </c>
      <c r="J95" s="7"/>
      <c r="K95" s="107">
        <f t="shared" si="3"/>
        <v>5.7213617366797635E-3</v>
      </c>
      <c r="L95" s="139"/>
    </row>
    <row r="96" spans="1:12">
      <c r="A96" s="180" t="s">
        <v>206</v>
      </c>
      <c r="B96" s="7"/>
      <c r="C96" s="185">
        <v>7001003694372</v>
      </c>
      <c r="D96" s="7"/>
      <c r="E96" s="68">
        <f>VLOOKUP(A96,'سود سپرده بانکی'!$A$7:$N$120,8,0)</f>
        <v>0</v>
      </c>
      <c r="F96" s="7"/>
      <c r="G96" s="107">
        <f t="shared" si="2"/>
        <v>0</v>
      </c>
      <c r="H96" s="7"/>
      <c r="I96" s="68">
        <f>VLOOKUP(A96,'سود سپرده بانکی'!$A$7:$N$120,14,0)</f>
        <v>307566986</v>
      </c>
      <c r="J96" s="7"/>
      <c r="K96" s="107">
        <f t="shared" si="3"/>
        <v>1.2692615736592493E-3</v>
      </c>
      <c r="L96" s="139"/>
    </row>
    <row r="97" spans="1:12">
      <c r="A97" s="180" t="s">
        <v>205</v>
      </c>
      <c r="B97" s="7"/>
      <c r="C97" s="185">
        <v>7001003694376</v>
      </c>
      <c r="D97" s="7"/>
      <c r="E97" s="68">
        <f>VLOOKUP(A97,'سود سپرده بانکی'!$A$7:$N$120,8,0)</f>
        <v>0</v>
      </c>
      <c r="F97" s="7"/>
      <c r="G97" s="107">
        <f t="shared" si="2"/>
        <v>0</v>
      </c>
      <c r="H97" s="7"/>
      <c r="I97" s="68">
        <f>VLOOKUP(A97,'سود سپرده بانکی'!$A$7:$N$120,14,0)</f>
        <v>546622397</v>
      </c>
      <c r="J97" s="7"/>
      <c r="K97" s="107">
        <f t="shared" si="3"/>
        <v>2.2557908858709917E-3</v>
      </c>
      <c r="L97" s="139"/>
    </row>
    <row r="98" spans="1:12">
      <c r="A98" s="180" t="s">
        <v>207</v>
      </c>
      <c r="B98" s="7"/>
      <c r="C98" s="185">
        <v>7001003694364</v>
      </c>
      <c r="D98" s="7"/>
      <c r="E98" s="68">
        <f>VLOOKUP(A98,'سود سپرده بانکی'!$A$7:$N$120,8,0)</f>
        <v>17042676</v>
      </c>
      <c r="F98" s="7"/>
      <c r="G98" s="107">
        <f t="shared" si="2"/>
        <v>4.0007030171278187E-3</v>
      </c>
      <c r="H98" s="7"/>
      <c r="I98" s="68">
        <f>VLOOKUP(A98,'سود سپرده بانکی'!$A$7:$N$120,14,0)</f>
        <v>109182948</v>
      </c>
      <c r="J98" s="7"/>
      <c r="K98" s="107">
        <f t="shared" si="3"/>
        <v>4.5057410809115899E-4</v>
      </c>
      <c r="L98" s="139"/>
    </row>
    <row r="99" spans="1:12">
      <c r="A99" s="180" t="s">
        <v>204</v>
      </c>
      <c r="B99" s="7"/>
      <c r="C99" s="185">
        <v>7001003694393</v>
      </c>
      <c r="D99" s="7"/>
      <c r="E99" s="68">
        <f>VLOOKUP(A99,'سود سپرده بانکی'!$A$7:$N$120,8,0)</f>
        <v>0</v>
      </c>
      <c r="F99" s="7"/>
      <c r="G99" s="107">
        <f t="shared" si="2"/>
        <v>0</v>
      </c>
      <c r="H99" s="7"/>
      <c r="I99" s="68">
        <f>VLOOKUP(A99,'سود سپرده بانکی'!$A$7:$N$120,14,0)</f>
        <v>118442467</v>
      </c>
      <c r="J99" s="7"/>
      <c r="K99" s="107">
        <f t="shared" si="3"/>
        <v>4.8878611455555802E-4</v>
      </c>
      <c r="L99" s="139"/>
    </row>
    <row r="100" spans="1:12">
      <c r="A100" s="180" t="s">
        <v>203</v>
      </c>
      <c r="B100" s="7"/>
      <c r="C100" s="185">
        <v>7001003694404</v>
      </c>
      <c r="D100" s="7"/>
      <c r="E100" s="68">
        <f>VLOOKUP(A100,'سود سپرده بانکی'!$A$7:$N$120,8,0)</f>
        <v>0</v>
      </c>
      <c r="F100" s="7"/>
      <c r="G100" s="107">
        <f t="shared" si="2"/>
        <v>0</v>
      </c>
      <c r="H100" s="7"/>
      <c r="I100" s="68">
        <f>VLOOKUP(A100,'سود سپرده بانکی'!$A$7:$N$120,14,0)</f>
        <v>144218219</v>
      </c>
      <c r="J100" s="7"/>
      <c r="K100" s="107">
        <f t="shared" si="3"/>
        <v>5.9515699646084331E-4</v>
      </c>
      <c r="L100" s="139"/>
    </row>
    <row r="101" spans="1:12">
      <c r="A101" s="180" t="s">
        <v>186</v>
      </c>
      <c r="B101" s="7"/>
      <c r="C101" s="185">
        <v>7001003572558</v>
      </c>
      <c r="D101" s="7"/>
      <c r="E101" s="68">
        <f>VLOOKUP(A101,'سود سپرده بانکی'!$A$7:$N$120,8,0)</f>
        <v>0</v>
      </c>
      <c r="F101" s="7"/>
      <c r="G101" s="107">
        <f t="shared" si="2"/>
        <v>0</v>
      </c>
      <c r="H101" s="7"/>
      <c r="I101" s="68">
        <f>VLOOKUP(A101,'سود سپرده بانکی'!$A$7:$N$120,14,0)</f>
        <v>2831461643</v>
      </c>
      <c r="J101" s="7"/>
      <c r="K101" s="107">
        <f t="shared" si="3"/>
        <v>1.1684821922824913E-2</v>
      </c>
      <c r="L101" s="139"/>
    </row>
    <row r="102" spans="1:12">
      <c r="A102" s="180" t="s">
        <v>183</v>
      </c>
      <c r="B102" s="7"/>
      <c r="C102" s="185">
        <v>7001003572607</v>
      </c>
      <c r="D102" s="7"/>
      <c r="E102" s="68">
        <f>VLOOKUP(A102,'سود سپرده بانکی'!$A$7:$N$120,8,0)</f>
        <v>0</v>
      </c>
      <c r="F102" s="7"/>
      <c r="G102" s="107">
        <f t="shared" si="2"/>
        <v>0</v>
      </c>
      <c r="H102" s="7"/>
      <c r="I102" s="68">
        <f>VLOOKUP(A102,'سود سپرده بانکی'!$A$7:$N$120,14,0)</f>
        <v>364746575</v>
      </c>
      <c r="J102" s="7"/>
      <c r="K102" s="107">
        <f t="shared" si="3"/>
        <v>1.5052292113410422E-3</v>
      </c>
      <c r="L102" s="139"/>
    </row>
    <row r="103" spans="1:12">
      <c r="A103" s="180" t="s">
        <v>192</v>
      </c>
      <c r="B103" s="7"/>
      <c r="C103" s="185">
        <v>7001003631847</v>
      </c>
      <c r="D103" s="7"/>
      <c r="E103" s="68">
        <f>VLOOKUP(A103,'سود سپرده بانکی'!$A$7:$N$120,8,0)</f>
        <v>0</v>
      </c>
      <c r="F103" s="7"/>
      <c r="G103" s="107">
        <f t="shared" si="2"/>
        <v>0</v>
      </c>
      <c r="H103" s="7"/>
      <c r="I103" s="68">
        <f>VLOOKUP(A103,'سود سپرده بانکی'!$A$7:$N$120,14,0)</f>
        <v>1809329793</v>
      </c>
      <c r="J103" s="7"/>
      <c r="K103" s="107">
        <f t="shared" si="3"/>
        <v>7.4667076925211458E-3</v>
      </c>
      <c r="L103" s="139"/>
    </row>
    <row r="104" spans="1:12">
      <c r="A104" s="180" t="s">
        <v>276</v>
      </c>
      <c r="B104" s="7"/>
      <c r="C104" s="185">
        <v>7001004144834</v>
      </c>
      <c r="D104" s="7"/>
      <c r="E104" s="68">
        <f>VLOOKUP(A104,'سود سپرده بانکی'!$A$7:$N$120,8,0)</f>
        <v>827820284</v>
      </c>
      <c r="F104" s="7"/>
      <c r="G104" s="107">
        <f t="shared" si="2"/>
        <v>0.19432764595409827</v>
      </c>
      <c r="H104" s="7"/>
      <c r="I104" s="68">
        <f>VLOOKUP(A104,'سود سپرده بانکی'!$A$7:$N$120,14,0)</f>
        <v>1444599256</v>
      </c>
      <c r="J104" s="7"/>
      <c r="K104" s="107">
        <f t="shared" si="3"/>
        <v>5.9615446664927187E-3</v>
      </c>
      <c r="L104" s="139"/>
    </row>
    <row r="105" spans="1:12">
      <c r="A105" s="180" t="s">
        <v>275</v>
      </c>
      <c r="B105" s="7"/>
      <c r="C105" s="185">
        <v>7001004144835</v>
      </c>
      <c r="D105" s="7"/>
      <c r="E105" s="68">
        <f>VLOOKUP(A105,'سود سپرده بانکی'!$A$7:$N$120,8,0)</f>
        <v>423698354</v>
      </c>
      <c r="F105" s="7"/>
      <c r="G105" s="107">
        <f t="shared" si="2"/>
        <v>9.9461568312387699E-2</v>
      </c>
      <c r="H105" s="7"/>
      <c r="I105" s="68">
        <f>VLOOKUP(A105,'سود سپرده بانکی'!$A$7:$N$120,14,0)</f>
        <v>737621773</v>
      </c>
      <c r="J105" s="7"/>
      <c r="K105" s="107">
        <f t="shared" si="3"/>
        <v>3.0440034690956898E-3</v>
      </c>
      <c r="L105" s="139"/>
    </row>
    <row r="106" spans="1:12">
      <c r="A106" s="180" t="s">
        <v>274</v>
      </c>
      <c r="B106" s="7"/>
      <c r="C106" s="185">
        <v>7001004144875</v>
      </c>
      <c r="D106" s="7"/>
      <c r="E106" s="68">
        <f>VLOOKUP(A106,'سود سپرده بانکی'!$A$7:$N$120,8,0)</f>
        <v>77843751</v>
      </c>
      <c r="F106" s="7"/>
      <c r="G106" s="107">
        <f t="shared" si="2"/>
        <v>1.8273522860508915E-2</v>
      </c>
      <c r="H106" s="7"/>
      <c r="I106" s="68">
        <f>VLOOKUP(A106,'سود سپرده بانکی'!$A$7:$N$120,14,0)</f>
        <v>135406485</v>
      </c>
      <c r="J106" s="7"/>
      <c r="K106" s="107">
        <f t="shared" si="3"/>
        <v>5.5879290059683952E-4</v>
      </c>
      <c r="L106" s="139"/>
    </row>
    <row r="107" spans="1:12">
      <c r="A107" s="180" t="s">
        <v>273</v>
      </c>
      <c r="B107" s="7"/>
      <c r="C107" s="185">
        <v>7001004144924</v>
      </c>
      <c r="D107" s="7"/>
      <c r="E107" s="68">
        <f>VLOOKUP(A107,'سود سپرده بانکی'!$A$7:$N$120,8,0)</f>
        <v>17225765</v>
      </c>
      <c r="F107" s="7"/>
      <c r="G107" s="107">
        <f t="shared" si="2"/>
        <v>4.0436824597167003E-3</v>
      </c>
      <c r="H107" s="7"/>
      <c r="I107" s="68">
        <f>VLOOKUP(A107,'سود سپرده بانکی'!$A$7:$N$120,14,0)</f>
        <v>31375480</v>
      </c>
      <c r="J107" s="7"/>
      <c r="K107" s="107">
        <f t="shared" si="3"/>
        <v>1.2947973264957084E-4</v>
      </c>
      <c r="L107" s="139"/>
    </row>
    <row r="108" spans="1:12">
      <c r="A108" s="180" t="s">
        <v>272</v>
      </c>
      <c r="B108" s="7"/>
      <c r="C108" s="185">
        <v>7001004144961</v>
      </c>
      <c r="D108" s="7"/>
      <c r="E108" s="68">
        <f>VLOOKUP(A108,'سود سپرده بانکی'!$A$7:$N$120,8,0)</f>
        <v>66179124</v>
      </c>
      <c r="F108" s="7"/>
      <c r="G108" s="107">
        <f t="shared" si="2"/>
        <v>1.5535296279626276E-2</v>
      </c>
      <c r="H108" s="7"/>
      <c r="I108" s="68">
        <f>VLOOKUP(A108,'سود سپرده بانکی'!$A$7:$N$120,14,0)</f>
        <v>115116289</v>
      </c>
      <c r="J108" s="7"/>
      <c r="K108" s="107">
        <f t="shared" si="3"/>
        <v>4.7505970660307776E-4</v>
      </c>
      <c r="L108" s="139"/>
    </row>
    <row r="109" spans="1:12">
      <c r="A109" s="180" t="s">
        <v>193</v>
      </c>
      <c r="B109" s="7"/>
      <c r="C109" s="185">
        <v>7001003631872</v>
      </c>
      <c r="D109" s="7"/>
      <c r="E109" s="68">
        <f>VLOOKUP(A109,'سود سپرده بانکی'!$A$7:$N$120,8,0)</f>
        <v>366515753</v>
      </c>
      <c r="F109" s="7"/>
      <c r="G109" s="107">
        <f t="shared" si="2"/>
        <v>8.6038171402893202E-2</v>
      </c>
      <c r="H109" s="7"/>
      <c r="I109" s="68">
        <f>VLOOKUP(A109,'سود سپرده بانکی'!$A$7:$N$120,14,0)</f>
        <v>6391397163</v>
      </c>
      <c r="J109" s="7"/>
      <c r="K109" s="107">
        <f t="shared" si="3"/>
        <v>2.637589595194928E-2</v>
      </c>
      <c r="L109" s="139"/>
    </row>
    <row r="110" spans="1:12">
      <c r="A110" s="180" t="s">
        <v>213</v>
      </c>
      <c r="B110" s="7"/>
      <c r="C110" s="185">
        <v>7001003667501</v>
      </c>
      <c r="D110" s="7"/>
      <c r="E110" s="68">
        <f>VLOOKUP(A110,'سود سپرده بانکی'!$A$7:$N$120,8,0)</f>
        <v>0</v>
      </c>
      <c r="F110" s="7"/>
      <c r="G110" s="107">
        <f t="shared" si="2"/>
        <v>0</v>
      </c>
      <c r="H110" s="7"/>
      <c r="I110" s="68">
        <f>VLOOKUP(A110,'سود سپرده بانکی'!$A$7:$N$120,14,0)</f>
        <v>927431507</v>
      </c>
      <c r="J110" s="7"/>
      <c r="K110" s="107">
        <f t="shared" si="3"/>
        <v>3.8273066603968639E-3</v>
      </c>
      <c r="L110" s="139"/>
    </row>
    <row r="111" spans="1:12">
      <c r="A111" s="180" t="s">
        <v>214</v>
      </c>
      <c r="B111" s="7"/>
      <c r="C111" s="185">
        <v>7001003667498</v>
      </c>
      <c r="D111" s="7"/>
      <c r="E111" s="68">
        <f>VLOOKUP(A111,'سود سپرده بانکی'!$A$7:$N$120,8,0)</f>
        <v>231713018</v>
      </c>
      <c r="F111" s="7"/>
      <c r="G111" s="107">
        <f t="shared" si="2"/>
        <v>5.4393744868493216E-2</v>
      </c>
      <c r="H111" s="7"/>
      <c r="I111" s="68">
        <f>VLOOKUP(A111,'سود سپرده بانکی'!$A$7:$N$120,14,0)</f>
        <v>2233051019</v>
      </c>
      <c r="J111" s="7"/>
      <c r="K111" s="107">
        <f t="shared" si="3"/>
        <v>9.215312369180384E-3</v>
      </c>
      <c r="L111" s="139"/>
    </row>
    <row r="112" spans="1:12">
      <c r="A112" s="180" t="s">
        <v>212</v>
      </c>
      <c r="B112" s="7"/>
      <c r="C112" s="185">
        <v>7001003667789</v>
      </c>
      <c r="D112" s="7"/>
      <c r="E112" s="68">
        <f>VLOOKUP(A112,'سود سپرده بانکی'!$A$7:$N$120,8,0)</f>
        <v>0</v>
      </c>
      <c r="F112" s="7"/>
      <c r="G112" s="107">
        <f t="shared" si="2"/>
        <v>0</v>
      </c>
      <c r="H112" s="7"/>
      <c r="I112" s="68">
        <f>VLOOKUP(A112,'سود سپرده بانکی'!$A$7:$N$120,14,0)</f>
        <v>402041096</v>
      </c>
      <c r="J112" s="7"/>
      <c r="K112" s="107">
        <f t="shared" si="3"/>
        <v>1.65913552953518E-3</v>
      </c>
      <c r="L112" s="139"/>
    </row>
    <row r="113" spans="1:12">
      <c r="A113" s="180" t="s">
        <v>211</v>
      </c>
      <c r="B113" s="7"/>
      <c r="C113" s="185">
        <v>7001003677276</v>
      </c>
      <c r="D113" s="7"/>
      <c r="E113" s="68">
        <f>VLOOKUP(A113,'سود سپرده بانکی'!$A$7:$N$120,8,0)</f>
        <v>0</v>
      </c>
      <c r="F113" s="7"/>
      <c r="G113" s="107">
        <f t="shared" si="2"/>
        <v>0</v>
      </c>
      <c r="H113" s="7"/>
      <c r="I113" s="68">
        <f>VLOOKUP(A113,'سود سپرده بانکی'!$A$7:$N$120,14,0)</f>
        <v>4068493151</v>
      </c>
      <c r="J113" s="7"/>
      <c r="K113" s="107">
        <f t="shared" si="3"/>
        <v>1.6789779964420947E-2</v>
      </c>
      <c r="L113" s="139"/>
    </row>
    <row r="114" spans="1:12">
      <c r="A114" s="180" t="s">
        <v>184</v>
      </c>
      <c r="B114" s="7"/>
      <c r="C114" s="185">
        <v>7001003527830</v>
      </c>
      <c r="D114" s="7"/>
      <c r="E114" s="68">
        <f>VLOOKUP(A114,'سود سپرده بانکی'!$A$7:$N$120,8,0)</f>
        <v>211991302</v>
      </c>
      <c r="F114" s="7"/>
      <c r="G114" s="107">
        <f t="shared" si="2"/>
        <v>4.9764147456435509E-2</v>
      </c>
      <c r="H114" s="7"/>
      <c r="I114" s="68">
        <f>VLOOKUP(A114,'سود سپرده بانکی'!$A$7:$N$120,14,0)</f>
        <v>1691443346</v>
      </c>
      <c r="J114" s="7"/>
      <c r="K114" s="107">
        <f t="shared" si="3"/>
        <v>6.980216150700342E-3</v>
      </c>
      <c r="L114" s="139"/>
    </row>
    <row r="115" spans="1:12">
      <c r="A115" s="180" t="s">
        <v>159</v>
      </c>
      <c r="B115" s="7"/>
      <c r="C115" s="185">
        <v>7001003260934</v>
      </c>
      <c r="D115" s="7"/>
      <c r="E115" s="68">
        <f>VLOOKUP(A115,'سود سپرده بانکی'!$A$7:$N$120,8,0)</f>
        <v>0</v>
      </c>
      <c r="F115" s="7"/>
      <c r="G115" s="107">
        <f t="shared" si="2"/>
        <v>0</v>
      </c>
      <c r="H115" s="7"/>
      <c r="I115" s="68">
        <f>VLOOKUP(A115,'سود سپرده بانکی'!$A$7:$N$120,14,0)</f>
        <v>1557036986</v>
      </c>
      <c r="J115" s="7"/>
      <c r="K115" s="107">
        <f t="shared" si="3"/>
        <v>6.4255505468848156E-3</v>
      </c>
      <c r="L115" s="139"/>
    </row>
    <row r="116" spans="1:12">
      <c r="A116" s="180" t="s">
        <v>176</v>
      </c>
      <c r="B116" s="7"/>
      <c r="C116" s="185">
        <v>479601842490</v>
      </c>
      <c r="D116" s="7"/>
      <c r="E116" s="68">
        <f>VLOOKUP(A116,'سود سپرده بانکی'!$A$7:$N$120,8,0)</f>
        <v>0</v>
      </c>
      <c r="F116" s="7"/>
      <c r="G116" s="107">
        <f t="shared" si="2"/>
        <v>0</v>
      </c>
      <c r="H116" s="7"/>
      <c r="I116" s="68">
        <f>VLOOKUP(A116,'سود سپرده بانکی'!$A$7:$N$120,14,0)</f>
        <v>5424657534</v>
      </c>
      <c r="J116" s="7"/>
      <c r="K116" s="107">
        <f t="shared" si="3"/>
        <v>2.2386373283143406E-2</v>
      </c>
      <c r="L116" s="139"/>
    </row>
    <row r="117" spans="1:12">
      <c r="A117" s="180" t="s">
        <v>182</v>
      </c>
      <c r="B117" s="7"/>
      <c r="C117" s="185">
        <v>479601842568</v>
      </c>
      <c r="D117" s="7"/>
      <c r="E117" s="68">
        <f>VLOOKUP(A117,'سود سپرده بانکی'!$A$7:$N$120,8,0)</f>
        <v>0</v>
      </c>
      <c r="F117" s="7"/>
      <c r="G117" s="107">
        <f t="shared" si="2"/>
        <v>0</v>
      </c>
      <c r="H117" s="7"/>
      <c r="I117" s="68">
        <f>VLOOKUP(A117,'سود سپرده بانکی'!$A$7:$N$120,14,0)</f>
        <v>6780821916.272727</v>
      </c>
      <c r="J117" s="7"/>
      <c r="K117" s="107">
        <f t="shared" si="3"/>
        <v>2.7982966598864571E-2</v>
      </c>
      <c r="L117" s="139"/>
    </row>
    <row r="118" spans="1:12">
      <c r="A118" s="180" t="s">
        <v>188</v>
      </c>
      <c r="B118" s="7"/>
      <c r="C118" s="185">
        <v>2093071522726810</v>
      </c>
      <c r="D118" s="7"/>
      <c r="E118" s="68">
        <f>VLOOKUP(A118,'سود سپرده بانکی'!$A$7:$N$120,8,0)</f>
        <v>0</v>
      </c>
      <c r="F118" s="7"/>
      <c r="G118" s="107">
        <f t="shared" si="2"/>
        <v>0</v>
      </c>
      <c r="H118" s="7"/>
      <c r="I118" s="68">
        <f>VLOOKUP(A118,'سود سپرده بانکی'!$A$7:$N$120,14,0)</f>
        <v>24265738358.684216</v>
      </c>
      <c r="J118" s="7"/>
      <c r="K118" s="107">
        <f t="shared" si="3"/>
        <v>0.10013938640068194</v>
      </c>
      <c r="L118" s="139"/>
    </row>
    <row r="119" spans="1:12">
      <c r="A119" s="180" t="s">
        <v>191</v>
      </c>
      <c r="B119" s="7"/>
      <c r="C119" s="185" t="s">
        <v>194</v>
      </c>
      <c r="D119" s="7"/>
      <c r="E119" s="68">
        <f>VLOOKUP(A119,'سود سپرده بانکی'!$A$7:$N$120,8,0)</f>
        <v>0</v>
      </c>
      <c r="F119" s="7"/>
      <c r="G119" s="107">
        <f t="shared" si="2"/>
        <v>0</v>
      </c>
      <c r="H119" s="7"/>
      <c r="I119" s="68">
        <f>VLOOKUP(A119,'سود سپرده بانکی'!$A$7:$N$120,14,0)</f>
        <v>13778406369.310345</v>
      </c>
      <c r="J119" s="7"/>
      <c r="K119" s="107">
        <f t="shared" si="3"/>
        <v>5.6860464701590147E-2</v>
      </c>
      <c r="L119" s="139"/>
    </row>
    <row r="120" spans="1:12">
      <c r="A120" s="180" t="s">
        <v>215</v>
      </c>
      <c r="B120" s="7"/>
      <c r="C120" s="185" t="s">
        <v>311</v>
      </c>
      <c r="D120" s="7"/>
      <c r="E120" s="68">
        <f>VLOOKUP(A120,'سود سپرده بانکی'!$A$7:$N$120,8,0)</f>
        <v>3944</v>
      </c>
      <c r="F120" s="7"/>
      <c r="G120" s="107">
        <f t="shared" si="2"/>
        <v>9.2583891752399187E-7</v>
      </c>
      <c r="H120" s="7"/>
      <c r="I120" s="68">
        <f>VLOOKUP(A120,'سود سپرده بانکی'!$A$7:$N$120,14,0)</f>
        <v>3980454769</v>
      </c>
      <c r="J120" s="7"/>
      <c r="K120" s="107">
        <f t="shared" si="3"/>
        <v>1.6426464848149872E-2</v>
      </c>
      <c r="L120" s="139"/>
    </row>
    <row r="121" spans="1:12" ht="22.5" thickBot="1">
      <c r="A121" s="180" t="s">
        <v>247</v>
      </c>
      <c r="B121" s="7"/>
      <c r="C121" s="185">
        <v>2093071522726810</v>
      </c>
      <c r="D121" s="7"/>
      <c r="E121" s="68">
        <f>VLOOKUP(A121,'سود سپرده بانکی'!$A$7:$N$120,8,0)</f>
        <v>219819444</v>
      </c>
      <c r="F121" s="7"/>
      <c r="G121" s="107">
        <f t="shared" si="2"/>
        <v>5.1601773854889899E-2</v>
      </c>
      <c r="H121" s="7"/>
      <c r="I121" s="68">
        <f>VLOOKUP(A121,'سود سپرده بانکی'!$A$7:$N$120,14,0)</f>
        <v>36944704.005000003</v>
      </c>
      <c r="J121" s="7"/>
      <c r="K121" s="107">
        <f t="shared" si="3"/>
        <v>1.5246270008888884E-4</v>
      </c>
      <c r="L121" s="139"/>
    </row>
    <row r="122" spans="1:12" ht="22.5" thickBot="1">
      <c r="A122" s="181" t="s">
        <v>2</v>
      </c>
      <c r="B122" s="178"/>
      <c r="D122" s="181"/>
      <c r="E122" s="392">
        <f>SUM(E8:E121)</f>
        <v>4259920300.766355</v>
      </c>
      <c r="F122" s="393"/>
      <c r="G122" s="101">
        <f>SUM(G8:G121)</f>
        <v>1</v>
      </c>
      <c r="H122" s="393"/>
      <c r="I122" s="392">
        <f>SUM(I8:I121)</f>
        <v>242319622986.21561</v>
      </c>
      <c r="J122" s="7"/>
      <c r="K122" s="101">
        <f>SUM(K8:K121)</f>
        <v>1</v>
      </c>
      <c r="L122" s="139"/>
    </row>
    <row r="123" spans="1:12" ht="22.5" thickTop="1"/>
  </sheetData>
  <autoFilter ref="A7:L122" xr:uid="{00000000-0009-0000-0000-00000C000000}">
    <sortState xmlns:xlrd2="http://schemas.microsoft.com/office/spreadsheetml/2017/richdata2" ref="A8:L50">
      <sortCondition sortBy="cellColor" ref="I8:I50" dxfId="5"/>
      <sortCondition sortBy="cellColor" ref="E8:E50" dxfId="4"/>
      <sortCondition sortBy="cellColor" ref="E8:E50" dxfId="3"/>
      <sortCondition descending="1" sortBy="cellColor" ref="E8:E50" dxfId="2"/>
    </sortState>
  </autoFilter>
  <mergeCells count="7">
    <mergeCell ref="A6:C6"/>
    <mergeCell ref="E6:H6"/>
    <mergeCell ref="A4:L4"/>
    <mergeCell ref="I6:L6"/>
    <mergeCell ref="A1:L1"/>
    <mergeCell ref="A2:L2"/>
    <mergeCell ref="A3:L3"/>
  </mergeCells>
  <phoneticPr fontId="52" type="noConversion"/>
  <conditionalFormatting sqref="A40:A1048576 A1:A13 A20:A38">
    <cfRule type="duplicateValues" dxfId="1" priority="3"/>
  </conditionalFormatting>
  <pageMargins left="0.7" right="0.7" top="0.75" bottom="0.75" header="0.3" footer="0.3"/>
  <pageSetup paperSize="9" scale="1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54EF-103F-423C-98F5-8B94ED89BC42}">
  <sheetPr>
    <tabColor theme="4" tint="0.79998168889431442"/>
  </sheetPr>
  <dimension ref="A1:AH14"/>
  <sheetViews>
    <sheetView rightToLeft="1" view="pageBreakPreview" zoomScale="85" zoomScaleNormal="100" zoomScaleSheetLayoutView="85" workbookViewId="0">
      <selection activeCell="G13" sqref="G13:O13"/>
    </sheetView>
  </sheetViews>
  <sheetFormatPr defaultColWidth="9.140625" defaultRowHeight="30.75" customHeight="1"/>
  <cols>
    <col min="1" max="1" width="37.5703125" style="135" customWidth="1"/>
    <col min="2" max="2" width="0.5703125" style="135" customWidth="1"/>
    <col min="3" max="3" width="14" style="135" customWidth="1"/>
    <col min="4" max="4" width="0.42578125" style="135" customWidth="1"/>
    <col min="5" max="5" width="14" style="135" customWidth="1"/>
    <col min="6" max="6" width="0.5703125" style="135" customWidth="1"/>
    <col min="7" max="7" width="22.5703125" style="77" customWidth="1"/>
    <col min="8" max="8" width="0.42578125" style="77" customWidth="1"/>
    <col min="9" max="9" width="14" style="77" customWidth="1"/>
    <col min="10" max="10" width="0.7109375" style="77" customWidth="1"/>
    <col min="11" max="11" width="22.5703125" style="77" customWidth="1"/>
    <col min="12" max="12" width="0.7109375" style="77" customWidth="1"/>
    <col min="13" max="13" width="24.5703125" style="77" customWidth="1"/>
    <col min="14" max="14" width="0.5703125" style="77" customWidth="1"/>
    <col min="15" max="15" width="18.140625" style="77" customWidth="1"/>
    <col min="16" max="16" width="0.5703125" style="77" customWidth="1"/>
    <col min="17" max="17" width="26.140625" style="77" customWidth="1"/>
    <col min="18" max="18" width="6.42578125" style="135" customWidth="1"/>
    <col min="19" max="19" width="4.28515625" style="135" customWidth="1"/>
    <col min="20" max="20" width="6.7109375" style="203" customWidth="1"/>
    <col min="21" max="21" width="9.42578125" style="201" customWidth="1"/>
    <col min="22" max="22" width="14.5703125" style="135" bestFit="1" customWidth="1"/>
    <col min="23" max="23" width="16" style="201" customWidth="1"/>
    <col min="24" max="24" width="6.42578125" style="135" customWidth="1"/>
    <col min="25" max="25" width="17.85546875" style="135" customWidth="1"/>
    <col min="26" max="26" width="15.42578125" style="135" customWidth="1"/>
    <col min="27" max="27" width="3.28515625" style="135" customWidth="1"/>
    <col min="28" max="28" width="4.28515625" style="135" customWidth="1"/>
    <col min="29" max="29" width="7.5703125" style="203" customWidth="1"/>
    <col min="30" max="30" width="13.85546875" style="201" customWidth="1"/>
    <col min="31" max="31" width="6.42578125" style="135" customWidth="1"/>
    <col min="32" max="32" width="16" style="201" customWidth="1"/>
    <col min="33" max="33" width="6.42578125" style="135" customWidth="1"/>
    <col min="34" max="34" width="13.140625" style="135" customWidth="1"/>
    <col min="35" max="35" width="21" style="135" customWidth="1"/>
    <col min="36" max="16384" width="9.140625" style="135"/>
  </cols>
  <sheetData>
    <row r="1" spans="1:34" ht="30.75" customHeight="1">
      <c r="A1" s="316" t="s">
        <v>84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</row>
    <row r="2" spans="1:34" ht="30.75" customHeight="1">
      <c r="A2" s="316" t="s">
        <v>53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</row>
    <row r="3" spans="1:34" ht="30.75" customHeight="1">
      <c r="A3" s="316" t="str">
        <f>' سهام'!A3:W3</f>
        <v>برای ماه منتهی به 1403/07/30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316"/>
      <c r="Q3" s="316"/>
    </row>
    <row r="4" spans="1:34" ht="30.75" customHeight="1">
      <c r="A4" s="364" t="s">
        <v>245</v>
      </c>
      <c r="B4" s="364"/>
      <c r="C4" s="364"/>
      <c r="D4" s="364"/>
      <c r="E4" s="364"/>
      <c r="F4" s="364"/>
      <c r="G4" s="364"/>
      <c r="H4" s="73"/>
      <c r="I4" s="74"/>
      <c r="J4" s="74"/>
      <c r="K4" s="74"/>
      <c r="L4" s="74"/>
      <c r="M4" s="74"/>
      <c r="N4" s="74"/>
      <c r="O4" s="71"/>
      <c r="P4" s="74"/>
      <c r="Q4" s="74"/>
    </row>
    <row r="5" spans="1:34" ht="30.75" customHeight="1" thickBot="1">
      <c r="A5" s="199"/>
      <c r="B5" s="365"/>
      <c r="C5" s="365"/>
      <c r="D5" s="365"/>
      <c r="E5" s="365"/>
      <c r="F5" s="166"/>
      <c r="G5" s="366" t="s">
        <v>301</v>
      </c>
      <c r="H5" s="366"/>
      <c r="I5" s="366"/>
      <c r="J5" s="366"/>
      <c r="K5" s="366"/>
      <c r="L5" s="74"/>
      <c r="M5" s="366" t="s">
        <v>300</v>
      </c>
      <c r="N5" s="366"/>
      <c r="O5" s="366"/>
      <c r="P5" s="366"/>
      <c r="Q5" s="366"/>
    </row>
    <row r="6" spans="1:34" ht="42" customHeight="1" thickBot="1">
      <c r="A6" s="19" t="s">
        <v>35</v>
      </c>
      <c r="B6" s="167"/>
      <c r="C6" s="168" t="s">
        <v>21</v>
      </c>
      <c r="D6" s="167"/>
      <c r="E6" s="168" t="s">
        <v>32</v>
      </c>
      <c r="F6" s="167"/>
      <c r="G6" s="75" t="s">
        <v>54</v>
      </c>
      <c r="H6" s="76"/>
      <c r="I6" s="75" t="s">
        <v>37</v>
      </c>
      <c r="J6" s="76"/>
      <c r="K6" s="75" t="s">
        <v>38</v>
      </c>
      <c r="L6" s="74"/>
      <c r="M6" s="75" t="s">
        <v>54</v>
      </c>
      <c r="N6" s="76"/>
      <c r="O6" s="75" t="s">
        <v>37</v>
      </c>
      <c r="P6" s="76"/>
      <c r="Q6" s="75" t="s">
        <v>38</v>
      </c>
    </row>
    <row r="7" spans="1:34" ht="30" customHeight="1" thickBot="1">
      <c r="A7" s="206" t="s">
        <v>196</v>
      </c>
      <c r="B7" s="171"/>
      <c r="C7" s="170" t="s">
        <v>200</v>
      </c>
      <c r="D7" s="108"/>
      <c r="E7" s="88">
        <v>0.23</v>
      </c>
      <c r="F7" s="108"/>
      <c r="G7" s="195">
        <v>14507217770</v>
      </c>
      <c r="H7" s="71"/>
      <c r="I7" s="71">
        <v>0</v>
      </c>
      <c r="J7" s="71"/>
      <c r="K7" s="71">
        <f>G7+I7</f>
        <v>14507217770</v>
      </c>
      <c r="L7" s="71"/>
      <c r="M7" s="71">
        <v>109463985982</v>
      </c>
      <c r="N7" s="71"/>
      <c r="O7" s="71">
        <v>0</v>
      </c>
      <c r="P7" s="71"/>
      <c r="Q7" s="71">
        <f>M7+O7</f>
        <v>109463985982</v>
      </c>
      <c r="R7" s="255"/>
      <c r="T7" s="205"/>
      <c r="V7" s="213"/>
      <c r="X7" s="209"/>
      <c r="Y7" s="144"/>
      <c r="AC7" s="205"/>
      <c r="AG7" s="209"/>
      <c r="AH7" s="144"/>
    </row>
    <row r="8" spans="1:34" ht="30" customHeight="1">
      <c r="A8" s="206" t="s">
        <v>125</v>
      </c>
      <c r="B8" s="171"/>
      <c r="C8" s="170" t="s">
        <v>127</v>
      </c>
      <c r="D8" s="108"/>
      <c r="E8" s="88">
        <v>0.15</v>
      </c>
      <c r="F8" s="108"/>
      <c r="G8" s="80">
        <v>6438003099</v>
      </c>
      <c r="H8" s="71"/>
      <c r="I8" s="71">
        <v>0</v>
      </c>
      <c r="J8" s="71"/>
      <c r="K8" s="71">
        <f t="shared" ref="K8:K12" si="0">G8+I8</f>
        <v>6438003099</v>
      </c>
      <c r="L8" s="71"/>
      <c r="M8" s="71">
        <v>63928546163</v>
      </c>
      <c r="N8" s="71"/>
      <c r="O8" s="71">
        <v>0</v>
      </c>
      <c r="P8" s="71"/>
      <c r="Q8" s="71">
        <f t="shared" ref="Q8:Q12" si="1">M8+O8</f>
        <v>63928546163</v>
      </c>
      <c r="R8" s="255"/>
      <c r="S8" s="213"/>
      <c r="T8" s="202"/>
      <c r="V8" s="213"/>
      <c r="X8" s="209"/>
      <c r="Y8" s="144"/>
      <c r="AC8" s="204"/>
      <c r="AE8" s="209"/>
      <c r="AG8" s="209"/>
      <c r="AH8" s="144"/>
    </row>
    <row r="9" spans="1:34" ht="30" customHeight="1">
      <c r="A9" s="206" t="s">
        <v>104</v>
      </c>
      <c r="B9" s="171"/>
      <c r="C9" s="170" t="s">
        <v>106</v>
      </c>
      <c r="D9" s="108"/>
      <c r="E9" s="88">
        <v>0.18</v>
      </c>
      <c r="F9" s="108"/>
      <c r="G9" s="80">
        <v>5081393497</v>
      </c>
      <c r="H9" s="71"/>
      <c r="I9" s="71">
        <v>0</v>
      </c>
      <c r="J9" s="71"/>
      <c r="K9" s="71">
        <f t="shared" si="0"/>
        <v>5081393497</v>
      </c>
      <c r="L9" s="71"/>
      <c r="M9" s="71">
        <v>56349192437</v>
      </c>
      <c r="N9" s="71"/>
      <c r="O9" s="71">
        <v>0</v>
      </c>
      <c r="P9" s="71"/>
      <c r="Q9" s="71">
        <f t="shared" si="1"/>
        <v>56349192437</v>
      </c>
      <c r="R9" s="255"/>
      <c r="T9" s="202"/>
      <c r="V9" s="213"/>
      <c r="X9" s="209"/>
      <c r="Y9" s="144"/>
      <c r="AC9" s="204"/>
      <c r="AE9" s="215"/>
      <c r="AG9" s="209"/>
      <c r="AH9" s="144"/>
    </row>
    <row r="10" spans="1:34" ht="30" customHeight="1">
      <c r="A10" s="206" t="s">
        <v>139</v>
      </c>
      <c r="B10" s="171"/>
      <c r="C10" s="170" t="s">
        <v>312</v>
      </c>
      <c r="D10" s="108"/>
      <c r="E10" s="88">
        <v>0.23</v>
      </c>
      <c r="F10" s="108"/>
      <c r="G10" s="80">
        <v>0</v>
      </c>
      <c r="H10" s="71"/>
      <c r="I10" s="71">
        <v>0</v>
      </c>
      <c r="J10" s="71"/>
      <c r="K10" s="71">
        <f t="shared" si="0"/>
        <v>0</v>
      </c>
      <c r="L10" s="71"/>
      <c r="M10" s="71">
        <v>8269843927</v>
      </c>
      <c r="N10" s="71"/>
      <c r="O10" s="71">
        <v>0</v>
      </c>
      <c r="P10" s="71"/>
      <c r="Q10" s="71">
        <f t="shared" si="1"/>
        <v>8269843927</v>
      </c>
      <c r="R10" s="255"/>
      <c r="S10" s="213"/>
      <c r="T10" s="202"/>
      <c r="V10" s="213"/>
      <c r="X10" s="209"/>
      <c r="Y10" s="144"/>
      <c r="AC10" s="204"/>
      <c r="AE10" s="215"/>
      <c r="AG10" s="209"/>
      <c r="AH10" s="144"/>
    </row>
    <row r="11" spans="1:34" ht="30" customHeight="1">
      <c r="A11" s="206" t="s">
        <v>118</v>
      </c>
      <c r="B11" s="171"/>
      <c r="C11" s="170" t="s">
        <v>313</v>
      </c>
      <c r="D11" s="108"/>
      <c r="E11" s="88" t="s">
        <v>251</v>
      </c>
      <c r="F11" s="108"/>
      <c r="G11" s="80">
        <v>0</v>
      </c>
      <c r="H11" s="71"/>
      <c r="I11" s="71">
        <v>0</v>
      </c>
      <c r="J11" s="71"/>
      <c r="K11" s="71">
        <f t="shared" si="0"/>
        <v>0</v>
      </c>
      <c r="L11" s="71"/>
      <c r="M11" s="71">
        <v>38098063699</v>
      </c>
      <c r="N11" s="71"/>
      <c r="O11" s="71">
        <v>0</v>
      </c>
      <c r="P11" s="71"/>
      <c r="Q11" s="71">
        <f t="shared" si="1"/>
        <v>38098063699</v>
      </c>
      <c r="R11" s="255"/>
      <c r="S11" s="213"/>
      <c r="T11" s="202"/>
      <c r="V11" s="213"/>
      <c r="X11" s="209"/>
      <c r="Y11" s="144"/>
      <c r="AC11" s="204"/>
      <c r="AE11" s="209"/>
      <c r="AG11" s="209"/>
      <c r="AH11" s="144"/>
    </row>
    <row r="12" spans="1:34" ht="30" customHeight="1">
      <c r="A12" s="180" t="s">
        <v>117</v>
      </c>
      <c r="B12" s="171"/>
      <c r="C12" s="170" t="s">
        <v>119</v>
      </c>
      <c r="D12" s="108"/>
      <c r="E12" s="88">
        <v>0.18</v>
      </c>
      <c r="F12" s="108"/>
      <c r="G12" s="80">
        <v>0</v>
      </c>
      <c r="H12" s="71"/>
      <c r="I12" s="71">
        <v>0</v>
      </c>
      <c r="J12" s="71"/>
      <c r="K12" s="71">
        <f t="shared" si="0"/>
        <v>0</v>
      </c>
      <c r="L12" s="71"/>
      <c r="M12" s="71">
        <v>760435788</v>
      </c>
      <c r="N12" s="71"/>
      <c r="O12" s="71">
        <v>0</v>
      </c>
      <c r="P12" s="71"/>
      <c r="Q12" s="71">
        <f t="shared" si="1"/>
        <v>760435788</v>
      </c>
      <c r="R12" s="255"/>
      <c r="T12" s="204"/>
      <c r="V12" s="213"/>
      <c r="X12" s="209"/>
      <c r="Y12" s="144"/>
      <c r="AC12" s="204"/>
      <c r="AE12" s="209"/>
      <c r="AG12" s="209"/>
      <c r="AH12" s="144"/>
    </row>
    <row r="13" spans="1:34" s="108" customFormat="1" ht="24.75" customHeight="1" thickBot="1">
      <c r="A13" s="248" t="s">
        <v>2</v>
      </c>
      <c r="B13" s="249"/>
      <c r="C13" s="250"/>
      <c r="D13" s="251"/>
      <c r="E13" s="252"/>
      <c r="F13" s="275">
        <f>SUM(F7:F12)</f>
        <v>0</v>
      </c>
      <c r="G13" s="253">
        <f>SUM(G7:G12)</f>
        <v>26026614366</v>
      </c>
      <c r="H13" s="254"/>
      <c r="I13" s="253">
        <f>SUM(I7:I12)</f>
        <v>0</v>
      </c>
      <c r="J13" s="254">
        <f>SUM(J7:J12)</f>
        <v>0</v>
      </c>
      <c r="K13" s="253">
        <f>SUM(K7:K12)</f>
        <v>26026614366</v>
      </c>
      <c r="L13" s="254"/>
      <c r="M13" s="253">
        <f>SUM(M7:M12)</f>
        <v>276870067996</v>
      </c>
      <c r="N13" s="254"/>
      <c r="O13" s="253">
        <f>SUM(O7:O12)</f>
        <v>0</v>
      </c>
      <c r="P13" s="254"/>
      <c r="Q13" s="253">
        <f>SUM(Q7:Q12)</f>
        <v>276870067996</v>
      </c>
      <c r="T13" s="203"/>
      <c r="U13" s="202"/>
      <c r="V13" s="213"/>
      <c r="W13" s="202"/>
      <c r="Y13" s="169"/>
      <c r="AC13" s="204"/>
      <c r="AD13" s="202"/>
      <c r="AF13" s="202"/>
      <c r="AH13" s="169"/>
    </row>
    <row r="14" spans="1:34" ht="30.75" customHeight="1" thickTop="1">
      <c r="H14" s="71"/>
      <c r="J14" s="71"/>
      <c r="L14" s="71"/>
      <c r="P14" s="71"/>
    </row>
  </sheetData>
  <autoFilter ref="A6:Q12" xr:uid="{00000000-0009-0000-0000-000006000000}">
    <sortState xmlns:xlrd2="http://schemas.microsoft.com/office/spreadsheetml/2017/richdata2" ref="A7:Q12">
      <sortCondition descending="1" ref="A6:A12"/>
    </sortState>
  </autoFilter>
  <mergeCells count="7">
    <mergeCell ref="A1:Q1"/>
    <mergeCell ref="A2:Q2"/>
    <mergeCell ref="A3:Q3"/>
    <mergeCell ref="A4:G4"/>
    <mergeCell ref="B5:E5"/>
    <mergeCell ref="G5:K5"/>
    <mergeCell ref="M5:Q5"/>
  </mergeCells>
  <conditionalFormatting sqref="A12">
    <cfRule type="duplicateValues" dxfId="0" priority="1"/>
  </conditionalFormatting>
  <printOptions horizontalCentered="1"/>
  <pageMargins left="0" right="0" top="0" bottom="0" header="0.3" footer="0.3"/>
  <pageSetup paperSize="9" scale="72" fitToHeight="0" orientation="landscape" r:id="rId1"/>
  <colBreaks count="1" manualBreakCount="1">
    <brk id="17" max="13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theme="4" tint="0.79998168889431442"/>
  </sheetPr>
  <dimension ref="A1:N122"/>
  <sheetViews>
    <sheetView rightToLeft="1" view="pageBreakPreview" topLeftCell="A112" zoomScale="80" zoomScaleNormal="100" zoomScaleSheetLayoutView="80" workbookViewId="0">
      <selection activeCell="F7" sqref="F7"/>
    </sheetView>
  </sheetViews>
  <sheetFormatPr defaultColWidth="9.140625" defaultRowHeight="30.75" customHeight="1"/>
  <cols>
    <col min="1" max="1" width="35.140625" style="135" customWidth="1"/>
    <col min="2" max="2" width="0.85546875" style="135" customWidth="1"/>
    <col min="3" max="3" width="1" style="135" customWidth="1"/>
    <col min="4" max="4" width="19.140625" style="77" customWidth="1"/>
    <col min="5" max="5" width="0.85546875" style="77" customWidth="1"/>
    <col min="6" max="6" width="14" style="77" customWidth="1"/>
    <col min="7" max="7" width="0.7109375" style="77" customWidth="1"/>
    <col min="8" max="8" width="18.140625" style="77" customWidth="1"/>
    <col min="9" max="9" width="0.7109375" style="77" customWidth="1"/>
    <col min="10" max="10" width="20" style="77" customWidth="1"/>
    <col min="11" max="11" width="0.5703125" style="77" customWidth="1"/>
    <col min="12" max="12" width="16.42578125" style="77" customWidth="1"/>
    <col min="13" max="13" width="0.5703125" style="77" customWidth="1"/>
    <col min="14" max="14" width="18.85546875" style="77" customWidth="1"/>
    <col min="15" max="16384" width="9.140625" style="135"/>
  </cols>
  <sheetData>
    <row r="1" spans="1:14" ht="30.75" customHeight="1">
      <c r="A1" s="316" t="s">
        <v>84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</row>
    <row r="2" spans="1:14" ht="30.75" customHeight="1">
      <c r="A2" s="316" t="s">
        <v>53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</row>
    <row r="3" spans="1:14" ht="30.75" customHeight="1">
      <c r="A3" s="316" t="str">
        <f>' سهام'!A3:W3</f>
        <v>برای ماه منتهی به 1403/07/30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</row>
    <row r="4" spans="1:14" ht="30.75" customHeight="1">
      <c r="A4" s="364" t="s">
        <v>246</v>
      </c>
      <c r="B4" s="364"/>
      <c r="C4" s="364"/>
      <c r="D4" s="364"/>
      <c r="E4" s="73"/>
      <c r="F4" s="74"/>
      <c r="G4" s="74"/>
      <c r="H4" s="74"/>
      <c r="I4" s="74"/>
      <c r="J4" s="74"/>
      <c r="K4" s="74"/>
      <c r="L4" s="71"/>
      <c r="M4" s="74"/>
      <c r="N4" s="74"/>
    </row>
    <row r="5" spans="1:14" ht="30.75" customHeight="1" thickBot="1">
      <c r="A5" s="199"/>
      <c r="B5" s="262"/>
      <c r="C5" s="166"/>
      <c r="D5" s="366" t="s">
        <v>301</v>
      </c>
      <c r="E5" s="366"/>
      <c r="F5" s="366"/>
      <c r="G5" s="366"/>
      <c r="H5" s="366"/>
      <c r="I5" s="74"/>
      <c r="J5" s="366" t="s">
        <v>300</v>
      </c>
      <c r="K5" s="366"/>
      <c r="L5" s="366"/>
      <c r="M5" s="366"/>
      <c r="N5" s="366"/>
    </row>
    <row r="6" spans="1:14" ht="42" customHeight="1" thickBot="1">
      <c r="A6" s="19" t="s">
        <v>35</v>
      </c>
      <c r="B6" s="167"/>
      <c r="C6" s="167"/>
      <c r="D6" s="75" t="s">
        <v>54</v>
      </c>
      <c r="E6" s="76"/>
      <c r="F6" s="75" t="s">
        <v>37</v>
      </c>
      <c r="G6" s="76"/>
      <c r="H6" s="75" t="s">
        <v>38</v>
      </c>
      <c r="I6" s="74"/>
      <c r="J6" s="75" t="s">
        <v>54</v>
      </c>
      <c r="K6" s="76"/>
      <c r="L6" s="75" t="s">
        <v>37</v>
      </c>
      <c r="M6" s="76"/>
      <c r="N6" s="75" t="s">
        <v>38</v>
      </c>
    </row>
    <row r="7" spans="1:14" s="108" customFormat="1" ht="30.75" customHeight="1">
      <c r="A7" s="206" t="s">
        <v>185</v>
      </c>
      <c r="B7" s="171"/>
      <c r="D7" s="80">
        <v>1586370205</v>
      </c>
      <c r="E7" s="71"/>
      <c r="F7" s="71">
        <v>0</v>
      </c>
      <c r="G7" s="71"/>
      <c r="H7" s="71">
        <f>D7+F7</f>
        <v>1586370205</v>
      </c>
      <c r="I7" s="71"/>
      <c r="J7" s="71">
        <v>11986409901</v>
      </c>
      <c r="K7" s="71"/>
      <c r="L7" s="71">
        <v>0</v>
      </c>
      <c r="M7" s="71"/>
      <c r="N7" s="71">
        <f>J7+L7</f>
        <v>11986409901</v>
      </c>
    </row>
    <row r="8" spans="1:14" s="108" customFormat="1" ht="30.75" customHeight="1" thickBot="1">
      <c r="A8" s="206" t="s">
        <v>276</v>
      </c>
      <c r="B8" s="171"/>
      <c r="D8" s="71">
        <v>828572047</v>
      </c>
      <c r="E8" s="71"/>
      <c r="F8" s="71">
        <v>-751763</v>
      </c>
      <c r="G8" s="71"/>
      <c r="H8" s="71">
        <f t="shared" ref="H8:H71" si="0">D8+F8</f>
        <v>827820284</v>
      </c>
      <c r="I8" s="71"/>
      <c r="J8" s="71">
        <v>1448012463</v>
      </c>
      <c r="K8" s="71"/>
      <c r="L8" s="71">
        <v>-3413207</v>
      </c>
      <c r="M8" s="71"/>
      <c r="N8" s="71">
        <f t="shared" ref="N8:N71" si="1">J8+L8</f>
        <v>1444599256</v>
      </c>
    </row>
    <row r="9" spans="1:14" s="108" customFormat="1" ht="30.75" customHeight="1" thickBot="1">
      <c r="A9" s="206" t="s">
        <v>275</v>
      </c>
      <c r="B9" s="171"/>
      <c r="D9" s="195">
        <v>424053495</v>
      </c>
      <c r="E9" s="71"/>
      <c r="F9" s="71">
        <v>-355141</v>
      </c>
      <c r="G9" s="71"/>
      <c r="H9" s="71">
        <f t="shared" si="0"/>
        <v>423698354</v>
      </c>
      <c r="I9" s="71"/>
      <c r="J9" s="71">
        <v>739331515</v>
      </c>
      <c r="K9" s="71"/>
      <c r="L9" s="71">
        <v>-1709742</v>
      </c>
      <c r="M9" s="71"/>
      <c r="N9" s="71">
        <f t="shared" si="1"/>
        <v>737621773</v>
      </c>
    </row>
    <row r="10" spans="1:14" ht="30" customHeight="1">
      <c r="A10" s="206" t="s">
        <v>214</v>
      </c>
      <c r="B10" s="171"/>
      <c r="C10" s="108"/>
      <c r="D10" s="80">
        <v>231713018</v>
      </c>
      <c r="E10" s="71"/>
      <c r="F10" s="71">
        <v>0</v>
      </c>
      <c r="G10" s="71"/>
      <c r="H10" s="71">
        <f t="shared" si="0"/>
        <v>231713018</v>
      </c>
      <c r="I10" s="71"/>
      <c r="J10" s="71">
        <v>2233051019</v>
      </c>
      <c r="K10" s="71"/>
      <c r="L10" s="71">
        <v>0</v>
      </c>
      <c r="M10" s="71"/>
      <c r="N10" s="71">
        <f t="shared" si="1"/>
        <v>2233051019</v>
      </c>
    </row>
    <row r="11" spans="1:14" s="108" customFormat="1" ht="30.75" customHeight="1" thickBot="1">
      <c r="A11" s="206" t="s">
        <v>184</v>
      </c>
      <c r="B11" s="171"/>
      <c r="D11" s="80">
        <v>211991302</v>
      </c>
      <c r="E11" s="71"/>
      <c r="F11" s="71">
        <v>0</v>
      </c>
      <c r="G11" s="71"/>
      <c r="H11" s="71">
        <f t="shared" si="0"/>
        <v>211991302</v>
      </c>
      <c r="I11" s="71"/>
      <c r="J11" s="71">
        <v>1691443346</v>
      </c>
      <c r="K11" s="71"/>
      <c r="L11" s="71">
        <v>0</v>
      </c>
      <c r="M11" s="71"/>
      <c r="N11" s="71">
        <f t="shared" si="1"/>
        <v>1691443346</v>
      </c>
    </row>
    <row r="12" spans="1:14" s="108" customFormat="1" ht="30.75" customHeight="1" thickBot="1">
      <c r="A12" s="206" t="s">
        <v>274</v>
      </c>
      <c r="B12" s="171"/>
      <c r="D12" s="195">
        <v>77919347</v>
      </c>
      <c r="E12" s="71"/>
      <c r="F12" s="71">
        <v>-75596</v>
      </c>
      <c r="G12" s="71"/>
      <c r="H12" s="71">
        <f t="shared" si="0"/>
        <v>77843751</v>
      </c>
      <c r="I12" s="71"/>
      <c r="J12" s="71">
        <v>135730468</v>
      </c>
      <c r="K12" s="71"/>
      <c r="L12" s="71">
        <v>-323983</v>
      </c>
      <c r="M12" s="71"/>
      <c r="N12" s="71">
        <f t="shared" si="1"/>
        <v>135406485</v>
      </c>
    </row>
    <row r="13" spans="1:14" s="108" customFormat="1" ht="30.75" customHeight="1">
      <c r="A13" s="206" t="s">
        <v>272</v>
      </c>
      <c r="B13" s="171"/>
      <c r="D13" s="80">
        <v>66243393</v>
      </c>
      <c r="E13" s="71"/>
      <c r="F13" s="71">
        <v>-64269</v>
      </c>
      <c r="G13" s="71"/>
      <c r="H13" s="71">
        <f t="shared" si="0"/>
        <v>66179124</v>
      </c>
      <c r="I13" s="71"/>
      <c r="J13" s="71">
        <v>115391725</v>
      </c>
      <c r="K13" s="71"/>
      <c r="L13" s="71">
        <v>-275436</v>
      </c>
      <c r="M13" s="71"/>
      <c r="N13" s="71">
        <f t="shared" si="1"/>
        <v>115116289</v>
      </c>
    </row>
    <row r="14" spans="1:14" ht="30" customHeight="1" thickBot="1">
      <c r="A14" s="206" t="s">
        <v>180</v>
      </c>
      <c r="B14" s="171"/>
      <c r="C14" s="108"/>
      <c r="D14" s="80">
        <v>40500000</v>
      </c>
      <c r="E14" s="71"/>
      <c r="F14" s="71">
        <v>0</v>
      </c>
      <c r="G14" s="71"/>
      <c r="H14" s="71">
        <f t="shared" si="0"/>
        <v>40500000</v>
      </c>
      <c r="I14" s="71"/>
      <c r="J14" s="71">
        <v>367200000</v>
      </c>
      <c r="K14" s="71"/>
      <c r="L14" s="71">
        <v>0</v>
      </c>
      <c r="M14" s="71"/>
      <c r="N14" s="71">
        <f t="shared" si="1"/>
        <v>367200000</v>
      </c>
    </row>
    <row r="15" spans="1:14" s="108" customFormat="1" ht="30.75" customHeight="1" thickBot="1">
      <c r="A15" s="206" t="s">
        <v>177</v>
      </c>
      <c r="B15" s="171"/>
      <c r="D15" s="195">
        <v>38373287</v>
      </c>
      <c r="E15" s="71"/>
      <c r="F15" s="71">
        <v>0</v>
      </c>
      <c r="G15" s="71"/>
      <c r="H15" s="71">
        <f t="shared" si="0"/>
        <v>38373287</v>
      </c>
      <c r="I15" s="71"/>
      <c r="J15" s="71">
        <v>338964052</v>
      </c>
      <c r="K15" s="71"/>
      <c r="L15" s="71">
        <v>0</v>
      </c>
      <c r="M15" s="71"/>
      <c r="N15" s="71">
        <f t="shared" si="1"/>
        <v>338964052</v>
      </c>
    </row>
    <row r="16" spans="1:14" s="108" customFormat="1" ht="30.75" customHeight="1" thickBot="1">
      <c r="A16" s="206" t="s">
        <v>153</v>
      </c>
      <c r="B16" s="171"/>
      <c r="D16" s="80">
        <v>0</v>
      </c>
      <c r="E16" s="71"/>
      <c r="F16" s="71">
        <v>0</v>
      </c>
      <c r="G16" s="71"/>
      <c r="H16" s="71">
        <f t="shared" si="0"/>
        <v>0</v>
      </c>
      <c r="I16" s="71"/>
      <c r="J16" s="71">
        <v>102914383</v>
      </c>
      <c r="K16" s="71"/>
      <c r="L16" s="71">
        <v>0</v>
      </c>
      <c r="M16" s="71"/>
      <c r="N16" s="71">
        <f t="shared" si="1"/>
        <v>102914383</v>
      </c>
    </row>
    <row r="17" spans="1:14" s="108" customFormat="1" ht="30.75" customHeight="1" thickBot="1">
      <c r="A17" s="206" t="s">
        <v>170</v>
      </c>
      <c r="B17" s="171"/>
      <c r="D17" s="195">
        <v>36616438</v>
      </c>
      <c r="E17" s="71"/>
      <c r="F17" s="71">
        <v>0</v>
      </c>
      <c r="G17" s="71"/>
      <c r="H17" s="71">
        <f t="shared" si="0"/>
        <v>36616438</v>
      </c>
      <c r="I17" s="71"/>
      <c r="J17" s="71">
        <v>333271233</v>
      </c>
      <c r="K17" s="71"/>
      <c r="L17" s="71">
        <v>0</v>
      </c>
      <c r="M17" s="71"/>
      <c r="N17" s="71">
        <f t="shared" si="1"/>
        <v>333271233</v>
      </c>
    </row>
    <row r="18" spans="1:14" s="108" customFormat="1" ht="30.75" customHeight="1" thickBot="1">
      <c r="A18" s="206" t="s">
        <v>273</v>
      </c>
      <c r="B18" s="171"/>
      <c r="D18" s="195">
        <v>17225765</v>
      </c>
      <c r="E18" s="71"/>
      <c r="F18" s="71">
        <v>0</v>
      </c>
      <c r="G18" s="71"/>
      <c r="H18" s="71">
        <f t="shared" si="0"/>
        <v>17225765</v>
      </c>
      <c r="I18" s="71"/>
      <c r="J18" s="71">
        <v>31375480</v>
      </c>
      <c r="K18" s="71"/>
      <c r="L18" s="71">
        <v>0</v>
      </c>
      <c r="M18" s="71"/>
      <c r="N18" s="71">
        <f t="shared" si="1"/>
        <v>31375480</v>
      </c>
    </row>
    <row r="19" spans="1:14" s="108" customFormat="1" ht="30.75" customHeight="1" thickBot="1">
      <c r="A19" s="206" t="s">
        <v>207</v>
      </c>
      <c r="B19" s="171"/>
      <c r="D19" s="195">
        <v>17042676</v>
      </c>
      <c r="E19" s="71"/>
      <c r="F19" s="71">
        <v>0</v>
      </c>
      <c r="G19" s="71"/>
      <c r="H19" s="71">
        <f t="shared" si="0"/>
        <v>17042676</v>
      </c>
      <c r="I19" s="71"/>
      <c r="J19" s="71">
        <v>109182948</v>
      </c>
      <c r="K19" s="71"/>
      <c r="L19" s="71">
        <v>0</v>
      </c>
      <c r="M19" s="71"/>
      <c r="N19" s="71">
        <f t="shared" si="1"/>
        <v>109182948</v>
      </c>
    </row>
    <row r="20" spans="1:14" s="108" customFormat="1" ht="30.75" customHeight="1">
      <c r="A20" s="206" t="s">
        <v>206</v>
      </c>
      <c r="B20" s="171"/>
      <c r="D20" s="80">
        <v>0</v>
      </c>
      <c r="E20" s="71"/>
      <c r="F20" s="71">
        <v>0</v>
      </c>
      <c r="G20" s="71"/>
      <c r="H20" s="71">
        <f t="shared" si="0"/>
        <v>0</v>
      </c>
      <c r="I20" s="71"/>
      <c r="J20" s="71">
        <v>307566986</v>
      </c>
      <c r="K20" s="71"/>
      <c r="L20" s="71">
        <v>0</v>
      </c>
      <c r="M20" s="71"/>
      <c r="N20" s="71">
        <f t="shared" si="1"/>
        <v>307566986</v>
      </c>
    </row>
    <row r="21" spans="1:14" s="108" customFormat="1" ht="30.75" customHeight="1">
      <c r="A21" s="206" t="s">
        <v>209</v>
      </c>
      <c r="B21" s="171"/>
      <c r="D21" s="80">
        <v>0</v>
      </c>
      <c r="E21" s="71"/>
      <c r="F21" s="71">
        <v>0</v>
      </c>
      <c r="G21" s="71"/>
      <c r="H21" s="71">
        <f t="shared" si="0"/>
        <v>0</v>
      </c>
      <c r="I21" s="71"/>
      <c r="J21" s="71">
        <v>356377808</v>
      </c>
      <c r="K21" s="71"/>
      <c r="L21" s="71">
        <v>0</v>
      </c>
      <c r="M21" s="71"/>
      <c r="N21" s="71">
        <f t="shared" si="1"/>
        <v>356377808</v>
      </c>
    </row>
    <row r="22" spans="1:14" ht="30" customHeight="1">
      <c r="A22" s="206" t="s">
        <v>166</v>
      </c>
      <c r="B22" s="171"/>
      <c r="C22" s="108"/>
      <c r="D22" s="80">
        <v>0</v>
      </c>
      <c r="E22" s="71"/>
      <c r="F22" s="71">
        <v>0</v>
      </c>
      <c r="G22" s="71"/>
      <c r="H22" s="71">
        <f t="shared" si="0"/>
        <v>0</v>
      </c>
      <c r="I22" s="71"/>
      <c r="J22" s="71">
        <v>12011301370</v>
      </c>
      <c r="K22" s="71"/>
      <c r="L22" s="71">
        <v>0</v>
      </c>
      <c r="M22" s="71"/>
      <c r="N22" s="71">
        <f t="shared" si="1"/>
        <v>12011301370</v>
      </c>
    </row>
    <row r="23" spans="1:14" s="108" customFormat="1" ht="30.75" customHeight="1">
      <c r="A23" s="206" t="s">
        <v>172</v>
      </c>
      <c r="B23" s="171"/>
      <c r="D23" s="80">
        <v>0</v>
      </c>
      <c r="E23" s="71"/>
      <c r="F23" s="71">
        <v>0</v>
      </c>
      <c r="G23" s="71"/>
      <c r="H23" s="71">
        <f t="shared" si="0"/>
        <v>0</v>
      </c>
      <c r="I23" s="71"/>
      <c r="J23" s="71">
        <v>2221234517</v>
      </c>
      <c r="K23" s="71"/>
      <c r="L23" s="71">
        <v>0</v>
      </c>
      <c r="M23" s="71"/>
      <c r="N23" s="71">
        <f t="shared" si="1"/>
        <v>2221234517</v>
      </c>
    </row>
    <row r="24" spans="1:14" s="108" customFormat="1" ht="30.75" customHeight="1" thickBot="1">
      <c r="A24" s="206" t="s">
        <v>178</v>
      </c>
      <c r="B24" s="171"/>
      <c r="D24" s="80">
        <v>0</v>
      </c>
      <c r="E24" s="71"/>
      <c r="F24" s="71">
        <v>0</v>
      </c>
      <c r="G24" s="71"/>
      <c r="H24" s="71">
        <f t="shared" si="0"/>
        <v>0</v>
      </c>
      <c r="I24" s="71"/>
      <c r="J24" s="71">
        <v>1980376028</v>
      </c>
      <c r="K24" s="71"/>
      <c r="L24" s="71">
        <v>0</v>
      </c>
      <c r="M24" s="71"/>
      <c r="N24" s="71">
        <f t="shared" si="1"/>
        <v>1980376028</v>
      </c>
    </row>
    <row r="25" spans="1:14" s="108" customFormat="1" ht="30.75" customHeight="1" thickBot="1">
      <c r="A25" s="206" t="s">
        <v>205</v>
      </c>
      <c r="B25" s="171"/>
      <c r="D25" s="195">
        <v>0</v>
      </c>
      <c r="E25" s="71"/>
      <c r="F25" s="71">
        <v>0</v>
      </c>
      <c r="G25" s="71"/>
      <c r="H25" s="71">
        <f t="shared" si="0"/>
        <v>0</v>
      </c>
      <c r="I25" s="71"/>
      <c r="J25" s="71">
        <v>546622397</v>
      </c>
      <c r="K25" s="71"/>
      <c r="L25" s="71">
        <v>0</v>
      </c>
      <c r="M25" s="71"/>
      <c r="N25" s="71">
        <f t="shared" si="1"/>
        <v>546622397</v>
      </c>
    </row>
    <row r="26" spans="1:14" s="108" customFormat="1" ht="30.75" customHeight="1" thickBot="1">
      <c r="A26" s="206" t="s">
        <v>208</v>
      </c>
      <c r="B26" s="171"/>
      <c r="D26" s="195">
        <v>0</v>
      </c>
      <c r="E26" s="71"/>
      <c r="F26" s="71">
        <v>0</v>
      </c>
      <c r="G26" s="71"/>
      <c r="H26" s="71">
        <f t="shared" si="0"/>
        <v>0</v>
      </c>
      <c r="I26" s="71"/>
      <c r="J26" s="71">
        <v>1386398219</v>
      </c>
      <c r="K26" s="71"/>
      <c r="L26" s="71">
        <v>0</v>
      </c>
      <c r="M26" s="71"/>
      <c r="N26" s="71">
        <f t="shared" si="1"/>
        <v>1386398219</v>
      </c>
    </row>
    <row r="27" spans="1:14" s="108" customFormat="1" ht="30.75" customHeight="1" thickBot="1">
      <c r="A27" s="206" t="s">
        <v>146</v>
      </c>
      <c r="B27" s="171"/>
      <c r="D27" s="195">
        <v>0</v>
      </c>
      <c r="E27" s="71"/>
      <c r="F27" s="71">
        <v>0</v>
      </c>
      <c r="G27" s="71"/>
      <c r="H27" s="71">
        <f t="shared" si="0"/>
        <v>0</v>
      </c>
      <c r="I27" s="71"/>
      <c r="J27" s="71">
        <v>241742466</v>
      </c>
      <c r="K27" s="71"/>
      <c r="L27" s="71">
        <v>0</v>
      </c>
      <c r="M27" s="71"/>
      <c r="N27" s="71">
        <f t="shared" si="1"/>
        <v>241742466</v>
      </c>
    </row>
    <row r="28" spans="1:14" s="108" customFormat="1" ht="30.75" customHeight="1" thickBot="1">
      <c r="A28" s="206" t="s">
        <v>210</v>
      </c>
      <c r="B28" s="171"/>
      <c r="D28" s="195">
        <v>0</v>
      </c>
      <c r="E28" s="71"/>
      <c r="F28" s="71">
        <v>0</v>
      </c>
      <c r="G28" s="71"/>
      <c r="H28" s="71">
        <f t="shared" si="0"/>
        <v>0</v>
      </c>
      <c r="I28" s="71"/>
      <c r="J28" s="71">
        <v>205648459</v>
      </c>
      <c r="K28" s="71"/>
      <c r="L28" s="71">
        <v>0</v>
      </c>
      <c r="M28" s="71"/>
      <c r="N28" s="71">
        <f t="shared" si="1"/>
        <v>205648459</v>
      </c>
    </row>
    <row r="29" spans="1:14" s="108" customFormat="1" ht="30.75" customHeight="1">
      <c r="A29" s="206" t="s">
        <v>175</v>
      </c>
      <c r="B29" s="171"/>
      <c r="D29" s="80">
        <v>0</v>
      </c>
      <c r="E29" s="71"/>
      <c r="F29" s="71">
        <v>0</v>
      </c>
      <c r="G29" s="71"/>
      <c r="H29" s="71">
        <f t="shared" si="0"/>
        <v>0</v>
      </c>
      <c r="I29" s="71"/>
      <c r="J29" s="71">
        <v>33232806</v>
      </c>
      <c r="K29" s="71"/>
      <c r="L29" s="71">
        <v>0</v>
      </c>
      <c r="M29" s="71"/>
      <c r="N29" s="71">
        <f t="shared" si="1"/>
        <v>33232806</v>
      </c>
    </row>
    <row r="30" spans="1:14" s="108" customFormat="1" ht="30.75" customHeight="1">
      <c r="A30" s="206" t="s">
        <v>171</v>
      </c>
      <c r="B30" s="171"/>
      <c r="D30" s="80">
        <v>0</v>
      </c>
      <c r="E30" s="71"/>
      <c r="F30" s="71">
        <v>0</v>
      </c>
      <c r="G30" s="71"/>
      <c r="H30" s="71">
        <f t="shared" si="0"/>
        <v>0</v>
      </c>
      <c r="I30" s="71"/>
      <c r="J30" s="71">
        <v>308958904</v>
      </c>
      <c r="K30" s="71"/>
      <c r="L30" s="71">
        <v>0</v>
      </c>
      <c r="M30" s="71"/>
      <c r="N30" s="71">
        <f t="shared" si="1"/>
        <v>308958904</v>
      </c>
    </row>
    <row r="31" spans="1:14" s="108" customFormat="1" ht="30.75" customHeight="1">
      <c r="A31" s="206" t="s">
        <v>149</v>
      </c>
      <c r="B31" s="171"/>
      <c r="D31" s="80">
        <v>0</v>
      </c>
      <c r="E31" s="71"/>
      <c r="F31" s="71">
        <v>0</v>
      </c>
      <c r="G31" s="71"/>
      <c r="H31" s="71">
        <f t="shared" si="0"/>
        <v>0</v>
      </c>
      <c r="I31" s="71"/>
      <c r="J31" s="169">
        <v>520890410</v>
      </c>
      <c r="K31" s="71"/>
      <c r="L31" s="71">
        <v>0</v>
      </c>
      <c r="M31" s="71"/>
      <c r="N31" s="71">
        <f t="shared" si="1"/>
        <v>520890410</v>
      </c>
    </row>
    <row r="32" spans="1:14" s="108" customFormat="1" ht="30.75" customHeight="1" thickBot="1">
      <c r="A32" s="206" t="s">
        <v>155</v>
      </c>
      <c r="B32" s="171"/>
      <c r="D32" s="80">
        <v>0</v>
      </c>
      <c r="E32" s="71"/>
      <c r="F32" s="71">
        <v>0</v>
      </c>
      <c r="G32" s="71"/>
      <c r="H32" s="71">
        <f t="shared" si="0"/>
        <v>0</v>
      </c>
      <c r="I32" s="71"/>
      <c r="J32" s="169">
        <v>5856165</v>
      </c>
      <c r="K32" s="71"/>
      <c r="L32" s="71">
        <v>0</v>
      </c>
      <c r="M32" s="71"/>
      <c r="N32" s="71">
        <f t="shared" si="1"/>
        <v>5856165</v>
      </c>
    </row>
    <row r="33" spans="1:14" s="108" customFormat="1" ht="30.75" customHeight="1" thickBot="1">
      <c r="A33" s="206" t="s">
        <v>152</v>
      </c>
      <c r="B33" s="171"/>
      <c r="D33" s="195">
        <v>0</v>
      </c>
      <c r="E33" s="71"/>
      <c r="F33" s="71">
        <v>0</v>
      </c>
      <c r="G33" s="71"/>
      <c r="H33" s="71">
        <f t="shared" si="0"/>
        <v>0</v>
      </c>
      <c r="I33" s="71"/>
      <c r="J33" s="169">
        <v>309673973</v>
      </c>
      <c r="K33" s="71"/>
      <c r="L33" s="71">
        <v>0</v>
      </c>
      <c r="M33" s="71"/>
      <c r="N33" s="71">
        <f t="shared" si="1"/>
        <v>309673973</v>
      </c>
    </row>
    <row r="34" spans="1:14" s="108" customFormat="1" ht="30.75" customHeight="1" thickBot="1">
      <c r="A34" s="206" t="s">
        <v>160</v>
      </c>
      <c r="B34" s="171"/>
      <c r="D34" s="80">
        <v>0</v>
      </c>
      <c r="E34" s="71"/>
      <c r="F34" s="71">
        <v>0</v>
      </c>
      <c r="G34" s="71"/>
      <c r="H34" s="71">
        <f t="shared" si="0"/>
        <v>0</v>
      </c>
      <c r="I34" s="71"/>
      <c r="J34" s="169">
        <v>257307534</v>
      </c>
      <c r="K34" s="71"/>
      <c r="L34" s="71">
        <v>0</v>
      </c>
      <c r="M34" s="71"/>
      <c r="N34" s="71">
        <f t="shared" si="1"/>
        <v>257307534</v>
      </c>
    </row>
    <row r="35" spans="1:14" s="108" customFormat="1" ht="30.75" customHeight="1" thickBot="1">
      <c r="A35" s="206" t="s">
        <v>173</v>
      </c>
      <c r="B35" s="171"/>
      <c r="D35" s="195">
        <v>0</v>
      </c>
      <c r="E35" s="71"/>
      <c r="F35" s="71">
        <v>0</v>
      </c>
      <c r="G35" s="71"/>
      <c r="H35" s="71">
        <f t="shared" si="0"/>
        <v>0</v>
      </c>
      <c r="I35" s="71"/>
      <c r="J35" s="71">
        <v>530988904</v>
      </c>
      <c r="K35" s="71"/>
      <c r="L35" s="71">
        <v>0</v>
      </c>
      <c r="M35" s="71"/>
      <c r="N35" s="71">
        <f t="shared" si="1"/>
        <v>530988904</v>
      </c>
    </row>
    <row r="36" spans="1:14" s="108" customFormat="1" ht="30.75" customHeight="1">
      <c r="A36" s="206" t="s">
        <v>167</v>
      </c>
      <c r="B36" s="171"/>
      <c r="D36" s="80">
        <v>0</v>
      </c>
      <c r="E36" s="71"/>
      <c r="F36" s="71">
        <v>0</v>
      </c>
      <c r="G36" s="71"/>
      <c r="H36" s="71">
        <f t="shared" si="0"/>
        <v>0</v>
      </c>
      <c r="I36" s="71"/>
      <c r="J36" s="169">
        <v>696729452</v>
      </c>
      <c r="K36" s="71"/>
      <c r="L36" s="71">
        <v>0</v>
      </c>
      <c r="M36" s="71"/>
      <c r="N36" s="71">
        <f t="shared" si="1"/>
        <v>696729452</v>
      </c>
    </row>
    <row r="37" spans="1:14" s="108" customFormat="1" ht="30.75" customHeight="1">
      <c r="A37" s="206" t="s">
        <v>140</v>
      </c>
      <c r="B37" s="171"/>
      <c r="D37" s="80">
        <v>0</v>
      </c>
      <c r="E37" s="71"/>
      <c r="F37" s="71">
        <v>0</v>
      </c>
      <c r="G37" s="71"/>
      <c r="H37" s="71">
        <f t="shared" si="0"/>
        <v>0</v>
      </c>
      <c r="I37" s="71"/>
      <c r="J37" s="71">
        <v>64417808</v>
      </c>
      <c r="K37" s="71"/>
      <c r="L37" s="71">
        <v>0</v>
      </c>
      <c r="M37" s="71"/>
      <c r="N37" s="71">
        <f t="shared" si="1"/>
        <v>64417808</v>
      </c>
    </row>
    <row r="38" spans="1:14" s="108" customFormat="1" ht="30.75" customHeight="1" thickBot="1">
      <c r="A38" s="206" t="s">
        <v>204</v>
      </c>
      <c r="B38" s="171"/>
      <c r="D38" s="80">
        <v>0</v>
      </c>
      <c r="E38" s="71"/>
      <c r="F38" s="71">
        <v>0</v>
      </c>
      <c r="G38" s="71"/>
      <c r="H38" s="71">
        <f t="shared" si="0"/>
        <v>0</v>
      </c>
      <c r="I38" s="71"/>
      <c r="J38" s="71">
        <v>118442467</v>
      </c>
      <c r="K38" s="71"/>
      <c r="L38" s="71">
        <v>0</v>
      </c>
      <c r="M38" s="71"/>
      <c r="N38" s="71">
        <f t="shared" si="1"/>
        <v>118442467</v>
      </c>
    </row>
    <row r="39" spans="1:14" s="108" customFormat="1" ht="30.75" customHeight="1" thickBot="1">
      <c r="A39" s="206" t="s">
        <v>213</v>
      </c>
      <c r="B39" s="171"/>
      <c r="D39" s="195">
        <v>0</v>
      </c>
      <c r="E39" s="71"/>
      <c r="F39" s="71">
        <v>0</v>
      </c>
      <c r="G39" s="71"/>
      <c r="H39" s="71">
        <f t="shared" si="0"/>
        <v>0</v>
      </c>
      <c r="I39" s="71"/>
      <c r="J39" s="71">
        <v>927431507</v>
      </c>
      <c r="K39" s="71"/>
      <c r="L39" s="71">
        <v>0</v>
      </c>
      <c r="M39" s="71"/>
      <c r="N39" s="71">
        <f t="shared" si="1"/>
        <v>927431507</v>
      </c>
    </row>
    <row r="40" spans="1:14" s="108" customFormat="1" ht="30.75" customHeight="1" thickBot="1">
      <c r="A40" s="206" t="s">
        <v>186</v>
      </c>
      <c r="B40" s="171"/>
      <c r="D40" s="195">
        <v>0</v>
      </c>
      <c r="E40" s="71"/>
      <c r="F40" s="71">
        <v>0</v>
      </c>
      <c r="G40" s="71"/>
      <c r="H40" s="71">
        <f t="shared" si="0"/>
        <v>0</v>
      </c>
      <c r="I40" s="71"/>
      <c r="J40" s="71">
        <v>2831461643</v>
      </c>
      <c r="K40" s="71"/>
      <c r="L40" s="71">
        <v>0</v>
      </c>
      <c r="M40" s="71"/>
      <c r="N40" s="71">
        <f t="shared" si="1"/>
        <v>2831461643</v>
      </c>
    </row>
    <row r="41" spans="1:14" ht="30" customHeight="1">
      <c r="A41" s="206" t="s">
        <v>212</v>
      </c>
      <c r="B41" s="171"/>
      <c r="C41" s="108"/>
      <c r="D41" s="80">
        <v>0</v>
      </c>
      <c r="E41" s="71"/>
      <c r="F41" s="71">
        <v>0</v>
      </c>
      <c r="G41" s="71"/>
      <c r="H41" s="71">
        <f t="shared" si="0"/>
        <v>0</v>
      </c>
      <c r="I41" s="71"/>
      <c r="J41" s="71">
        <v>402041096</v>
      </c>
      <c r="K41" s="71"/>
      <c r="L41" s="71">
        <v>0</v>
      </c>
      <c r="M41" s="71"/>
      <c r="N41" s="71">
        <f t="shared" si="1"/>
        <v>402041096</v>
      </c>
    </row>
    <row r="42" spans="1:14" s="108" customFormat="1" ht="30.75" customHeight="1">
      <c r="A42" s="206" t="s">
        <v>161</v>
      </c>
      <c r="B42" s="171"/>
      <c r="D42" s="80">
        <v>0</v>
      </c>
      <c r="E42" s="71"/>
      <c r="F42" s="71">
        <v>0</v>
      </c>
      <c r="G42" s="71"/>
      <c r="H42" s="71">
        <f t="shared" si="0"/>
        <v>0</v>
      </c>
      <c r="I42" s="71"/>
      <c r="J42" s="71">
        <v>687476712</v>
      </c>
      <c r="K42" s="71"/>
      <c r="L42" s="71">
        <v>0</v>
      </c>
      <c r="M42" s="71"/>
      <c r="N42" s="71">
        <f t="shared" si="1"/>
        <v>687476712</v>
      </c>
    </row>
    <row r="43" spans="1:14" s="108" customFormat="1" ht="30.75" customHeight="1">
      <c r="A43" s="206" t="s">
        <v>151</v>
      </c>
      <c r="B43" s="171"/>
      <c r="D43" s="80">
        <v>0</v>
      </c>
      <c r="E43" s="71"/>
      <c r="F43" s="71">
        <v>0</v>
      </c>
      <c r="G43" s="71"/>
      <c r="H43" s="71">
        <f t="shared" si="0"/>
        <v>0</v>
      </c>
      <c r="I43" s="71"/>
      <c r="J43" s="169">
        <v>440228528</v>
      </c>
      <c r="K43" s="71"/>
      <c r="L43" s="71">
        <v>0</v>
      </c>
      <c r="M43" s="71"/>
      <c r="N43" s="71">
        <f t="shared" si="1"/>
        <v>440228528</v>
      </c>
    </row>
    <row r="44" spans="1:14" s="108" customFormat="1" ht="30.75" customHeight="1" thickBot="1">
      <c r="A44" s="206" t="s">
        <v>154</v>
      </c>
      <c r="B44" s="171"/>
      <c r="D44" s="71">
        <v>0</v>
      </c>
      <c r="E44" s="71"/>
      <c r="F44" s="71">
        <v>0</v>
      </c>
      <c r="G44" s="71"/>
      <c r="H44" s="71">
        <f t="shared" si="0"/>
        <v>0</v>
      </c>
      <c r="I44" s="71"/>
      <c r="J44" s="169">
        <v>25767124</v>
      </c>
      <c r="K44" s="71"/>
      <c r="L44" s="71">
        <v>0</v>
      </c>
      <c r="M44" s="71"/>
      <c r="N44" s="71">
        <f t="shared" si="1"/>
        <v>25767124</v>
      </c>
    </row>
    <row r="45" spans="1:14" s="108" customFormat="1" ht="30.75" customHeight="1" thickBot="1">
      <c r="A45" s="206" t="s">
        <v>143</v>
      </c>
      <c r="B45" s="171"/>
      <c r="D45" s="273">
        <v>0</v>
      </c>
      <c r="E45" s="71"/>
      <c r="F45" s="71">
        <v>0</v>
      </c>
      <c r="G45" s="71"/>
      <c r="H45" s="71">
        <f t="shared" si="0"/>
        <v>0</v>
      </c>
      <c r="I45" s="71">
        <f>E45+G45</f>
        <v>0</v>
      </c>
      <c r="J45" s="169">
        <v>38065069</v>
      </c>
      <c r="K45" s="71"/>
      <c r="L45" s="71">
        <v>0</v>
      </c>
      <c r="M45" s="71"/>
      <c r="N45" s="71">
        <f t="shared" si="1"/>
        <v>38065069</v>
      </c>
    </row>
    <row r="46" spans="1:14" s="108" customFormat="1" ht="30.75" customHeight="1" thickBot="1">
      <c r="A46" s="206" t="s">
        <v>145</v>
      </c>
      <c r="B46" s="171"/>
      <c r="D46" s="195">
        <v>0</v>
      </c>
      <c r="E46" s="71"/>
      <c r="F46" s="71">
        <v>0</v>
      </c>
      <c r="G46" s="71"/>
      <c r="H46" s="71">
        <f t="shared" si="0"/>
        <v>0</v>
      </c>
      <c r="I46" s="71"/>
      <c r="J46" s="71">
        <v>1510273972</v>
      </c>
      <c r="K46" s="71"/>
      <c r="L46" s="71">
        <v>0</v>
      </c>
      <c r="M46" s="71"/>
      <c r="N46" s="71">
        <f t="shared" si="1"/>
        <v>1510273972</v>
      </c>
    </row>
    <row r="47" spans="1:14" s="108" customFormat="1" ht="30.75" customHeight="1" thickBot="1">
      <c r="A47" s="206" t="s">
        <v>132</v>
      </c>
      <c r="B47" s="171"/>
      <c r="D47" s="195">
        <v>0</v>
      </c>
      <c r="E47" s="71"/>
      <c r="F47" s="71">
        <v>0</v>
      </c>
      <c r="G47" s="71"/>
      <c r="H47" s="71">
        <f t="shared" si="0"/>
        <v>0</v>
      </c>
      <c r="I47" s="71"/>
      <c r="J47" s="71">
        <v>303333906</v>
      </c>
      <c r="K47" s="71"/>
      <c r="L47" s="71">
        <v>0</v>
      </c>
      <c r="M47" s="71"/>
      <c r="N47" s="71">
        <f t="shared" si="1"/>
        <v>303333906</v>
      </c>
    </row>
    <row r="48" spans="1:14" s="108" customFormat="1" ht="30.75" customHeight="1" thickBot="1">
      <c r="A48" s="206" t="s">
        <v>183</v>
      </c>
      <c r="B48" s="171"/>
      <c r="D48" s="195">
        <v>0</v>
      </c>
      <c r="E48" s="71"/>
      <c r="F48" s="71">
        <v>0</v>
      </c>
      <c r="G48" s="71"/>
      <c r="H48" s="71">
        <f t="shared" si="0"/>
        <v>0</v>
      </c>
      <c r="I48" s="71"/>
      <c r="J48" s="71">
        <v>364746575</v>
      </c>
      <c r="K48" s="71"/>
      <c r="L48" s="71">
        <v>0</v>
      </c>
      <c r="M48" s="71"/>
      <c r="N48" s="71">
        <f t="shared" si="1"/>
        <v>364746575</v>
      </c>
    </row>
    <row r="49" spans="1:14" s="108" customFormat="1" ht="30.75" customHeight="1" thickBot="1">
      <c r="A49" s="206" t="s">
        <v>181</v>
      </c>
      <c r="B49" s="171"/>
      <c r="D49" s="195">
        <v>0</v>
      </c>
      <c r="E49" s="71"/>
      <c r="F49" s="71">
        <v>0</v>
      </c>
      <c r="G49" s="71"/>
      <c r="H49" s="71">
        <f t="shared" si="0"/>
        <v>0</v>
      </c>
      <c r="I49" s="71"/>
      <c r="J49" s="169">
        <v>292561643</v>
      </c>
      <c r="K49" s="71"/>
      <c r="L49" s="71">
        <v>0</v>
      </c>
      <c r="M49" s="71"/>
      <c r="N49" s="71">
        <f t="shared" si="1"/>
        <v>292561643</v>
      </c>
    </row>
    <row r="50" spans="1:14" s="108" customFormat="1" ht="30.75" customHeight="1">
      <c r="A50" s="206" t="s">
        <v>174</v>
      </c>
      <c r="B50" s="171"/>
      <c r="D50" s="71">
        <v>0</v>
      </c>
      <c r="E50" s="71"/>
      <c r="F50" s="71">
        <v>0</v>
      </c>
      <c r="G50" s="71"/>
      <c r="H50" s="71">
        <f t="shared" si="0"/>
        <v>0</v>
      </c>
      <c r="I50" s="71"/>
      <c r="J50" s="71">
        <v>1144599041</v>
      </c>
      <c r="K50" s="71"/>
      <c r="L50" s="71">
        <v>0</v>
      </c>
      <c r="M50" s="71"/>
      <c r="N50" s="71">
        <f t="shared" si="1"/>
        <v>1144599041</v>
      </c>
    </row>
    <row r="51" spans="1:14" ht="30" customHeight="1">
      <c r="A51" s="206" t="s">
        <v>137</v>
      </c>
      <c r="B51" s="171"/>
      <c r="C51" s="108"/>
      <c r="D51" s="80">
        <v>0</v>
      </c>
      <c r="E51" s="71"/>
      <c r="F51" s="71">
        <v>0</v>
      </c>
      <c r="G51" s="71"/>
      <c r="H51" s="71">
        <f t="shared" si="0"/>
        <v>0</v>
      </c>
      <c r="I51" s="71"/>
      <c r="J51" s="71">
        <v>5942619864</v>
      </c>
      <c r="K51" s="71"/>
      <c r="L51" s="71">
        <v>0</v>
      </c>
      <c r="M51" s="71"/>
      <c r="N51" s="71">
        <f t="shared" si="1"/>
        <v>5942619864</v>
      </c>
    </row>
    <row r="52" spans="1:14" s="108" customFormat="1" ht="30.75" customHeight="1">
      <c r="A52" s="206" t="s">
        <v>203</v>
      </c>
      <c r="B52" s="171"/>
      <c r="D52" s="80">
        <v>0</v>
      </c>
      <c r="E52" s="71"/>
      <c r="F52" s="71">
        <v>0</v>
      </c>
      <c r="G52" s="71"/>
      <c r="H52" s="71">
        <f t="shared" si="0"/>
        <v>0</v>
      </c>
      <c r="I52" s="71"/>
      <c r="J52" s="71">
        <v>144218219</v>
      </c>
      <c r="K52" s="71"/>
      <c r="L52" s="71">
        <v>0</v>
      </c>
      <c r="M52" s="71"/>
      <c r="N52" s="71">
        <f t="shared" si="1"/>
        <v>144218219</v>
      </c>
    </row>
    <row r="53" spans="1:14" s="108" customFormat="1" ht="30.75" customHeight="1">
      <c r="A53" s="206" t="s">
        <v>211</v>
      </c>
      <c r="B53" s="171"/>
      <c r="D53" s="80">
        <v>0</v>
      </c>
      <c r="E53" s="71"/>
      <c r="F53" s="71">
        <v>0</v>
      </c>
      <c r="G53" s="71"/>
      <c r="H53" s="71">
        <f t="shared" si="0"/>
        <v>0</v>
      </c>
      <c r="I53" s="71"/>
      <c r="J53" s="71">
        <v>4068493151</v>
      </c>
      <c r="K53" s="71"/>
      <c r="L53" s="71">
        <v>0</v>
      </c>
      <c r="M53" s="71"/>
      <c r="N53" s="71">
        <f t="shared" si="1"/>
        <v>4068493151</v>
      </c>
    </row>
    <row r="54" spans="1:14" s="108" customFormat="1" ht="30.75" customHeight="1" thickBot="1">
      <c r="A54" s="206" t="s">
        <v>187</v>
      </c>
      <c r="B54" s="171"/>
      <c r="D54" s="80">
        <v>0</v>
      </c>
      <c r="E54" s="71"/>
      <c r="F54" s="71">
        <v>0</v>
      </c>
      <c r="G54" s="71"/>
      <c r="H54" s="71">
        <f t="shared" si="0"/>
        <v>0</v>
      </c>
      <c r="I54" s="71"/>
      <c r="J54" s="71">
        <v>825800240</v>
      </c>
      <c r="K54" s="71"/>
      <c r="L54" s="71">
        <v>0</v>
      </c>
      <c r="M54" s="71"/>
      <c r="N54" s="71">
        <f t="shared" si="1"/>
        <v>825800240</v>
      </c>
    </row>
    <row r="55" spans="1:14" s="108" customFormat="1" ht="30.75" customHeight="1" thickBot="1">
      <c r="A55" s="206" t="s">
        <v>192</v>
      </c>
      <c r="B55" s="171"/>
      <c r="D55" s="195">
        <v>0</v>
      </c>
      <c r="E55" s="71"/>
      <c r="F55" s="71">
        <v>0</v>
      </c>
      <c r="G55" s="71"/>
      <c r="H55" s="71">
        <f t="shared" si="0"/>
        <v>0</v>
      </c>
      <c r="I55" s="71"/>
      <c r="J55" s="71">
        <v>1809329793</v>
      </c>
      <c r="K55" s="71"/>
      <c r="L55" s="71">
        <v>0</v>
      </c>
      <c r="M55" s="71"/>
      <c r="N55" s="71">
        <f t="shared" si="1"/>
        <v>1809329793</v>
      </c>
    </row>
    <row r="56" spans="1:14" s="108" customFormat="1" ht="30.75" customHeight="1" thickBot="1">
      <c r="A56" s="206" t="s">
        <v>168</v>
      </c>
      <c r="B56" s="171"/>
      <c r="D56" s="195">
        <v>0</v>
      </c>
      <c r="E56" s="71"/>
      <c r="F56" s="71">
        <v>0</v>
      </c>
      <c r="G56" s="71"/>
      <c r="H56" s="71">
        <f t="shared" si="0"/>
        <v>0</v>
      </c>
      <c r="I56" s="71"/>
      <c r="J56" s="71">
        <v>22654110</v>
      </c>
      <c r="K56" s="71"/>
      <c r="L56" s="71">
        <v>0</v>
      </c>
      <c r="M56" s="71"/>
      <c r="N56" s="71">
        <f t="shared" si="1"/>
        <v>22654110</v>
      </c>
    </row>
    <row r="57" spans="1:14" s="108" customFormat="1" ht="30.75" customHeight="1" thickBot="1">
      <c r="A57" s="206" t="s">
        <v>179</v>
      </c>
      <c r="B57" s="171"/>
      <c r="D57" s="195">
        <v>0</v>
      </c>
      <c r="E57" s="71"/>
      <c r="F57" s="71">
        <v>0</v>
      </c>
      <c r="G57" s="71"/>
      <c r="H57" s="71">
        <f t="shared" si="0"/>
        <v>0</v>
      </c>
      <c r="I57" s="71"/>
      <c r="J57" s="71">
        <v>51047260</v>
      </c>
      <c r="K57" s="71"/>
      <c r="L57" s="71">
        <v>0</v>
      </c>
      <c r="M57" s="71"/>
      <c r="N57" s="71">
        <f t="shared" si="1"/>
        <v>51047260</v>
      </c>
    </row>
    <row r="58" spans="1:14" s="108" customFormat="1" ht="30.75" customHeight="1" thickBot="1">
      <c r="A58" s="206" t="s">
        <v>157</v>
      </c>
      <c r="B58" s="171"/>
      <c r="D58" s="195">
        <v>0</v>
      </c>
      <c r="E58" s="71"/>
      <c r="F58" s="71">
        <v>0</v>
      </c>
      <c r="G58" s="71"/>
      <c r="H58" s="71">
        <f t="shared" si="0"/>
        <v>0</v>
      </c>
      <c r="I58" s="71"/>
      <c r="J58" s="169">
        <v>50312468</v>
      </c>
      <c r="K58" s="71"/>
      <c r="L58" s="71">
        <v>0</v>
      </c>
      <c r="M58" s="71"/>
      <c r="N58" s="71">
        <f t="shared" si="1"/>
        <v>50312468</v>
      </c>
    </row>
    <row r="59" spans="1:14" s="108" customFormat="1" ht="30.75" customHeight="1" thickBot="1">
      <c r="A59" s="206" t="s">
        <v>159</v>
      </c>
      <c r="B59" s="171"/>
      <c r="D59" s="195">
        <v>0</v>
      </c>
      <c r="E59" s="71"/>
      <c r="F59" s="71">
        <v>0</v>
      </c>
      <c r="G59" s="71"/>
      <c r="H59" s="71">
        <f t="shared" si="0"/>
        <v>0</v>
      </c>
      <c r="I59" s="71"/>
      <c r="J59" s="71">
        <v>1557036986</v>
      </c>
      <c r="K59" s="71"/>
      <c r="L59" s="71">
        <v>0</v>
      </c>
      <c r="M59" s="71"/>
      <c r="N59" s="71">
        <f t="shared" si="1"/>
        <v>1557036986</v>
      </c>
    </row>
    <row r="60" spans="1:14" s="108" customFormat="1" ht="30.75" customHeight="1">
      <c r="A60" s="206" t="s">
        <v>141</v>
      </c>
      <c r="B60" s="171"/>
      <c r="D60" s="80">
        <v>0</v>
      </c>
      <c r="E60" s="71"/>
      <c r="F60" s="71">
        <v>0</v>
      </c>
      <c r="G60" s="71"/>
      <c r="H60" s="71">
        <f t="shared" si="0"/>
        <v>0</v>
      </c>
      <c r="I60" s="71"/>
      <c r="J60" s="169">
        <v>81986301</v>
      </c>
      <c r="K60" s="71"/>
      <c r="L60" s="71">
        <v>0</v>
      </c>
      <c r="M60" s="71"/>
      <c r="N60" s="71">
        <f t="shared" si="1"/>
        <v>81986301</v>
      </c>
    </row>
    <row r="61" spans="1:14" s="108" customFormat="1" ht="30.75" customHeight="1">
      <c r="A61" s="206" t="s">
        <v>158</v>
      </c>
      <c r="B61" s="171"/>
      <c r="D61" s="80">
        <v>0</v>
      </c>
      <c r="E61" s="71"/>
      <c r="F61" s="71">
        <v>0</v>
      </c>
      <c r="G61" s="71"/>
      <c r="H61" s="71">
        <f t="shared" si="0"/>
        <v>0</v>
      </c>
      <c r="I61" s="71"/>
      <c r="J61" s="71">
        <v>10861662328</v>
      </c>
      <c r="K61" s="71"/>
      <c r="L61" s="71">
        <v>0</v>
      </c>
      <c r="M61" s="71"/>
      <c r="N61" s="71">
        <f t="shared" si="1"/>
        <v>10861662328</v>
      </c>
    </row>
    <row r="62" spans="1:14" s="108" customFormat="1" ht="30.75" customHeight="1" thickBot="1">
      <c r="A62" s="206" t="s">
        <v>193</v>
      </c>
      <c r="B62" s="171"/>
      <c r="D62" s="71">
        <v>366515753</v>
      </c>
      <c r="E62" s="71"/>
      <c r="F62" s="71">
        <v>0</v>
      </c>
      <c r="G62" s="71"/>
      <c r="H62" s="71">
        <f t="shared" si="0"/>
        <v>366515753</v>
      </c>
      <c r="I62" s="71"/>
      <c r="J62" s="71">
        <v>6391397163</v>
      </c>
      <c r="K62" s="71"/>
      <c r="L62" s="71">
        <v>0</v>
      </c>
      <c r="M62" s="71"/>
      <c r="N62" s="71">
        <f t="shared" si="1"/>
        <v>6391397163</v>
      </c>
    </row>
    <row r="63" spans="1:14" s="108" customFormat="1" ht="30.75" customHeight="1" thickBot="1">
      <c r="A63" s="206" t="s">
        <v>142</v>
      </c>
      <c r="B63" s="171"/>
      <c r="D63" s="195">
        <v>8941</v>
      </c>
      <c r="E63" s="71"/>
      <c r="F63" s="71">
        <v>0</v>
      </c>
      <c r="G63" s="71"/>
      <c r="H63" s="71">
        <f t="shared" si="0"/>
        <v>8941</v>
      </c>
      <c r="I63" s="71"/>
      <c r="J63" s="71">
        <v>297005193</v>
      </c>
      <c r="K63" s="71"/>
      <c r="L63" s="71">
        <v>0</v>
      </c>
      <c r="M63" s="71"/>
      <c r="N63" s="71">
        <f t="shared" si="1"/>
        <v>297005193</v>
      </c>
    </row>
    <row r="64" spans="1:14" s="108" customFormat="1" ht="30.75" customHeight="1" thickBot="1">
      <c r="A64" s="206" t="s">
        <v>101</v>
      </c>
      <c r="B64" s="171"/>
      <c r="D64" s="195">
        <v>11289739</v>
      </c>
      <c r="E64" s="71"/>
      <c r="F64" s="71">
        <v>0</v>
      </c>
      <c r="G64" s="71"/>
      <c r="H64" s="71">
        <f t="shared" si="0"/>
        <v>11289739</v>
      </c>
      <c r="I64" s="71"/>
      <c r="J64" s="71">
        <v>55703531</v>
      </c>
      <c r="K64" s="71"/>
      <c r="L64" s="71">
        <v>0</v>
      </c>
      <c r="M64" s="71"/>
      <c r="N64" s="71">
        <f t="shared" si="1"/>
        <v>55703531</v>
      </c>
    </row>
    <row r="65" spans="1:14" s="108" customFormat="1" ht="30.75" customHeight="1">
      <c r="A65" s="206" t="s">
        <v>100</v>
      </c>
      <c r="B65" s="171"/>
      <c r="D65" s="80">
        <v>6228</v>
      </c>
      <c r="E65" s="71"/>
      <c r="F65" s="71">
        <v>0</v>
      </c>
      <c r="G65" s="71"/>
      <c r="H65" s="71">
        <f t="shared" si="0"/>
        <v>6228</v>
      </c>
      <c r="I65" s="71"/>
      <c r="J65" s="71">
        <v>94813</v>
      </c>
      <c r="K65" s="71"/>
      <c r="L65" s="71">
        <v>0</v>
      </c>
      <c r="M65" s="71"/>
      <c r="N65" s="71">
        <f t="shared" si="1"/>
        <v>94813</v>
      </c>
    </row>
    <row r="66" spans="1:14" s="108" customFormat="1" ht="30.75" customHeight="1" thickBot="1">
      <c r="A66" s="206" t="s">
        <v>191</v>
      </c>
      <c r="B66" s="171"/>
      <c r="D66" s="80">
        <v>0</v>
      </c>
      <c r="E66" s="71"/>
      <c r="F66" s="71">
        <v>0</v>
      </c>
      <c r="G66" s="71"/>
      <c r="H66" s="71">
        <f t="shared" si="0"/>
        <v>0</v>
      </c>
      <c r="I66" s="71"/>
      <c r="J66" s="169">
        <v>13778406369.310345</v>
      </c>
      <c r="K66" s="71"/>
      <c r="L66" s="71">
        <v>0</v>
      </c>
      <c r="M66" s="71"/>
      <c r="N66" s="71">
        <f t="shared" si="1"/>
        <v>13778406369.310345</v>
      </c>
    </row>
    <row r="67" spans="1:14" s="108" customFormat="1" ht="30.75" customHeight="1" thickBot="1">
      <c r="A67" s="206" t="s">
        <v>215</v>
      </c>
      <c r="B67" s="171"/>
      <c r="D67" s="195">
        <v>3944</v>
      </c>
      <c r="E67" s="71"/>
      <c r="F67" s="71">
        <v>0</v>
      </c>
      <c r="G67" s="71"/>
      <c r="H67" s="71">
        <f t="shared" si="0"/>
        <v>3944</v>
      </c>
      <c r="I67" s="71"/>
      <c r="J67" s="71">
        <f>26262+3980428507</f>
        <v>3980454769</v>
      </c>
      <c r="K67" s="71"/>
      <c r="L67" s="71">
        <v>0</v>
      </c>
      <c r="M67" s="71"/>
      <c r="N67" s="71">
        <f t="shared" si="1"/>
        <v>3980454769</v>
      </c>
    </row>
    <row r="68" spans="1:14" s="108" customFormat="1" ht="30.75" customHeight="1" thickBot="1">
      <c r="A68" s="206" t="s">
        <v>103</v>
      </c>
      <c r="B68" s="171"/>
      <c r="D68" s="195">
        <v>2472</v>
      </c>
      <c r="E68" s="71"/>
      <c r="F68" s="71">
        <v>0</v>
      </c>
      <c r="G68" s="71"/>
      <c r="H68" s="71">
        <f t="shared" si="0"/>
        <v>2472</v>
      </c>
      <c r="I68" s="71"/>
      <c r="J68" s="71">
        <v>24041</v>
      </c>
      <c r="K68" s="71"/>
      <c r="L68" s="71">
        <v>0</v>
      </c>
      <c r="M68" s="71"/>
      <c r="N68" s="71">
        <f t="shared" si="1"/>
        <v>24041</v>
      </c>
    </row>
    <row r="69" spans="1:14" s="108" customFormat="1" ht="30.75" customHeight="1" thickBot="1">
      <c r="A69" s="206" t="s">
        <v>109</v>
      </c>
      <c r="B69" s="171"/>
      <c r="D69" s="195">
        <v>1541</v>
      </c>
      <c r="E69" s="71"/>
      <c r="F69" s="71">
        <v>0</v>
      </c>
      <c r="G69" s="71"/>
      <c r="H69" s="71">
        <f t="shared" si="0"/>
        <v>1541</v>
      </c>
      <c r="I69" s="71"/>
      <c r="J69" s="71">
        <v>25202</v>
      </c>
      <c r="K69" s="71"/>
      <c r="L69" s="71">
        <v>0</v>
      </c>
      <c r="M69" s="71"/>
      <c r="N69" s="71">
        <f t="shared" si="1"/>
        <v>25202</v>
      </c>
    </row>
    <row r="70" spans="1:14" s="108" customFormat="1" ht="30.75" customHeight="1">
      <c r="A70" s="206" t="s">
        <v>99</v>
      </c>
      <c r="B70" s="171"/>
      <c r="D70" s="80">
        <v>6004</v>
      </c>
      <c r="E70" s="71"/>
      <c r="F70" s="71">
        <v>0</v>
      </c>
      <c r="G70" s="71"/>
      <c r="H70" s="71">
        <f t="shared" si="0"/>
        <v>6004</v>
      </c>
      <c r="I70" s="71"/>
      <c r="J70" s="71">
        <f>1170840+7524220368</f>
        <v>7525391208</v>
      </c>
      <c r="K70" s="71"/>
      <c r="L70" s="71">
        <v>0</v>
      </c>
      <c r="M70" s="71"/>
      <c r="N70" s="71">
        <f t="shared" si="1"/>
        <v>7525391208</v>
      </c>
    </row>
    <row r="71" spans="1:14" s="108" customFormat="1" ht="30.75" customHeight="1" thickBot="1">
      <c r="A71" s="206" t="s">
        <v>260</v>
      </c>
      <c r="B71" s="171"/>
      <c r="D71" s="71">
        <v>0</v>
      </c>
      <c r="E71" s="71"/>
      <c r="F71" s="71">
        <v>0</v>
      </c>
      <c r="G71" s="71"/>
      <c r="H71" s="71">
        <f t="shared" si="0"/>
        <v>0</v>
      </c>
      <c r="I71" s="71"/>
      <c r="J71" s="71">
        <v>863432.30769230763</v>
      </c>
      <c r="K71" s="71"/>
      <c r="L71" s="71">
        <v>0</v>
      </c>
      <c r="M71" s="71"/>
      <c r="N71" s="71">
        <f t="shared" si="1"/>
        <v>863432.30769230763</v>
      </c>
    </row>
    <row r="72" spans="1:14" s="108" customFormat="1" ht="30.75" customHeight="1" thickBot="1">
      <c r="A72" s="206" t="s">
        <v>263</v>
      </c>
      <c r="B72" s="171"/>
      <c r="D72" s="195">
        <v>0</v>
      </c>
      <c r="E72" s="71"/>
      <c r="F72" s="71">
        <v>0</v>
      </c>
      <c r="G72" s="71"/>
      <c r="H72" s="71">
        <f t="shared" ref="H72:H120" si="2">D72+F72</f>
        <v>0</v>
      </c>
      <c r="I72" s="71"/>
      <c r="J72" s="71">
        <v>2114528.3653846155</v>
      </c>
      <c r="K72" s="71"/>
      <c r="L72" s="71">
        <v>0</v>
      </c>
      <c r="M72" s="71"/>
      <c r="N72" s="71">
        <f t="shared" ref="N72:N120" si="3">J72+L72</f>
        <v>2114528.3653846155</v>
      </c>
    </row>
    <row r="73" spans="1:14" s="108" customFormat="1" ht="30.75" customHeight="1" thickBot="1">
      <c r="A73" s="206" t="s">
        <v>259</v>
      </c>
      <c r="B73" s="171"/>
      <c r="D73" s="195">
        <v>0</v>
      </c>
      <c r="E73" s="71"/>
      <c r="F73" s="71">
        <v>0</v>
      </c>
      <c r="G73" s="71"/>
      <c r="H73" s="71">
        <f t="shared" si="2"/>
        <v>0</v>
      </c>
      <c r="I73" s="71"/>
      <c r="J73" s="71">
        <v>6712181.826923077</v>
      </c>
      <c r="K73" s="71"/>
      <c r="L73" s="71">
        <v>0</v>
      </c>
      <c r="M73" s="71"/>
      <c r="N73" s="71">
        <f t="shared" si="3"/>
        <v>6712181.826923077</v>
      </c>
    </row>
    <row r="74" spans="1:14" s="108" customFormat="1" ht="30.75" customHeight="1" thickBot="1">
      <c r="A74" s="206" t="s">
        <v>189</v>
      </c>
      <c r="B74" s="171"/>
      <c r="D74" s="195">
        <v>0</v>
      </c>
      <c r="E74" s="71"/>
      <c r="F74" s="71">
        <v>0</v>
      </c>
      <c r="G74" s="71"/>
      <c r="H74" s="71">
        <f t="shared" si="2"/>
        <v>0</v>
      </c>
      <c r="I74" s="71"/>
      <c r="J74" s="169">
        <v>3982191781.034483</v>
      </c>
      <c r="K74" s="71"/>
      <c r="L74" s="71">
        <v>0</v>
      </c>
      <c r="M74" s="71"/>
      <c r="N74" s="71">
        <f t="shared" si="3"/>
        <v>3982191781.034483</v>
      </c>
    </row>
    <row r="75" spans="1:14" s="108" customFormat="1" ht="30.75" customHeight="1" thickBot="1">
      <c r="A75" s="206" t="s">
        <v>257</v>
      </c>
      <c r="B75" s="171"/>
      <c r="D75" s="195">
        <v>0</v>
      </c>
      <c r="E75" s="71"/>
      <c r="F75" s="71">
        <v>0</v>
      </c>
      <c r="G75" s="71"/>
      <c r="H75" s="71">
        <f t="shared" si="2"/>
        <v>0</v>
      </c>
      <c r="I75" s="71"/>
      <c r="J75" s="71">
        <v>15487729.615384616</v>
      </c>
      <c r="K75" s="71"/>
      <c r="L75" s="71">
        <v>0</v>
      </c>
      <c r="M75" s="71"/>
      <c r="N75" s="71">
        <f t="shared" si="3"/>
        <v>15487729.615384616</v>
      </c>
    </row>
    <row r="76" spans="1:14" s="108" customFormat="1" ht="30.75" customHeight="1" thickBot="1">
      <c r="A76" s="206" t="s">
        <v>265</v>
      </c>
      <c r="B76" s="171"/>
      <c r="D76" s="195">
        <v>0</v>
      </c>
      <c r="E76" s="71"/>
      <c r="F76" s="71">
        <v>0</v>
      </c>
      <c r="G76" s="71"/>
      <c r="H76" s="71">
        <f t="shared" si="2"/>
        <v>0</v>
      </c>
      <c r="I76" s="71"/>
      <c r="J76" s="71">
        <v>1834881.7924528301</v>
      </c>
      <c r="K76" s="71"/>
      <c r="L76" s="71">
        <v>0</v>
      </c>
      <c r="M76" s="71"/>
      <c r="N76" s="71">
        <f t="shared" si="3"/>
        <v>1834881.7924528301</v>
      </c>
    </row>
    <row r="77" spans="1:14" s="108" customFormat="1" ht="30.75" customHeight="1">
      <c r="A77" s="206" t="s">
        <v>254</v>
      </c>
      <c r="B77" s="171"/>
      <c r="D77" s="80">
        <v>0</v>
      </c>
      <c r="E77" s="71"/>
      <c r="F77" s="71">
        <v>0</v>
      </c>
      <c r="G77" s="71"/>
      <c r="H77" s="71">
        <f t="shared" si="2"/>
        <v>0</v>
      </c>
      <c r="I77" s="71"/>
      <c r="J77" s="71">
        <v>5715609.6226415094</v>
      </c>
      <c r="K77" s="71"/>
      <c r="L77" s="71">
        <v>0</v>
      </c>
      <c r="M77" s="71"/>
      <c r="N77" s="71">
        <f t="shared" si="3"/>
        <v>5715609.6226415094</v>
      </c>
    </row>
    <row r="78" spans="1:14" s="108" customFormat="1" ht="30.75" customHeight="1">
      <c r="A78" s="206" t="s">
        <v>144</v>
      </c>
      <c r="B78" s="171"/>
      <c r="D78" s="80">
        <v>0</v>
      </c>
      <c r="E78" s="71"/>
      <c r="F78" s="71">
        <v>0</v>
      </c>
      <c r="G78" s="71"/>
      <c r="H78" s="71">
        <f t="shared" si="2"/>
        <v>0</v>
      </c>
      <c r="I78" s="71"/>
      <c r="J78" s="169">
        <v>1629280759.1666667</v>
      </c>
      <c r="K78" s="71"/>
      <c r="L78" s="71">
        <v>0</v>
      </c>
      <c r="M78" s="71"/>
      <c r="N78" s="71">
        <f t="shared" si="3"/>
        <v>1629280759.1666667</v>
      </c>
    </row>
    <row r="79" spans="1:14" s="108" customFormat="1" ht="30.75" customHeight="1">
      <c r="A79" s="206" t="s">
        <v>148</v>
      </c>
      <c r="B79" s="171"/>
      <c r="D79" s="80">
        <v>0</v>
      </c>
      <c r="E79" s="71"/>
      <c r="F79" s="71">
        <v>0</v>
      </c>
      <c r="G79" s="71"/>
      <c r="H79" s="71">
        <f t="shared" si="2"/>
        <v>0</v>
      </c>
      <c r="I79" s="71"/>
      <c r="J79" s="71">
        <v>1833890928.3333333</v>
      </c>
      <c r="K79" s="71"/>
      <c r="L79" s="71">
        <v>0</v>
      </c>
      <c r="M79" s="71"/>
      <c r="N79" s="71">
        <f t="shared" si="3"/>
        <v>1833890928.3333333</v>
      </c>
    </row>
    <row r="80" spans="1:14" ht="30" customHeight="1">
      <c r="A80" s="206" t="s">
        <v>255</v>
      </c>
      <c r="B80" s="171"/>
      <c r="C80" s="108"/>
      <c r="D80" s="80">
        <v>0</v>
      </c>
      <c r="E80" s="71"/>
      <c r="F80" s="71">
        <v>0</v>
      </c>
      <c r="G80" s="71"/>
      <c r="H80" s="71">
        <f t="shared" si="2"/>
        <v>0</v>
      </c>
      <c r="I80" s="71"/>
      <c r="J80" s="71">
        <v>1049243.3653846155</v>
      </c>
      <c r="K80" s="71"/>
      <c r="L80" s="71">
        <v>0</v>
      </c>
      <c r="M80" s="71"/>
      <c r="N80" s="71">
        <f t="shared" si="3"/>
        <v>1049243.3653846155</v>
      </c>
    </row>
    <row r="81" spans="1:14" s="108" customFormat="1" ht="30.75" customHeight="1" thickBot="1">
      <c r="A81" s="206" t="s">
        <v>266</v>
      </c>
      <c r="B81" s="171"/>
      <c r="D81" s="80">
        <v>0</v>
      </c>
      <c r="E81" s="71"/>
      <c r="F81" s="71">
        <v>0</v>
      </c>
      <c r="G81" s="71"/>
      <c r="H81" s="71">
        <f t="shared" si="2"/>
        <v>0</v>
      </c>
      <c r="I81" s="71"/>
      <c r="J81" s="71">
        <v>9087653.2075471692</v>
      </c>
      <c r="K81" s="71"/>
      <c r="L81" s="71">
        <v>0</v>
      </c>
      <c r="M81" s="71"/>
      <c r="N81" s="71">
        <f t="shared" si="3"/>
        <v>9087653.2075471692</v>
      </c>
    </row>
    <row r="82" spans="1:14" s="108" customFormat="1" ht="30.75" customHeight="1" thickBot="1">
      <c r="A82" s="206" t="s">
        <v>256</v>
      </c>
      <c r="B82" s="171"/>
      <c r="D82" s="195">
        <v>0</v>
      </c>
      <c r="E82" s="71"/>
      <c r="F82" s="71">
        <v>0</v>
      </c>
      <c r="G82" s="71"/>
      <c r="H82" s="71">
        <f t="shared" si="2"/>
        <v>0</v>
      </c>
      <c r="I82" s="71"/>
      <c r="J82" s="71">
        <v>6827283.173076923</v>
      </c>
      <c r="K82" s="71"/>
      <c r="L82" s="71">
        <v>0</v>
      </c>
      <c r="M82" s="71"/>
      <c r="N82" s="71">
        <f t="shared" si="3"/>
        <v>6827283.173076923</v>
      </c>
    </row>
    <row r="83" spans="1:14" s="108" customFormat="1" ht="30.75" customHeight="1">
      <c r="A83" s="206" t="s">
        <v>264</v>
      </c>
      <c r="B83" s="171"/>
      <c r="D83" s="80">
        <v>0</v>
      </c>
      <c r="E83" s="71"/>
      <c r="F83" s="71">
        <v>0</v>
      </c>
      <c r="G83" s="71"/>
      <c r="H83" s="71">
        <f t="shared" si="2"/>
        <v>0</v>
      </c>
      <c r="I83" s="71"/>
      <c r="J83" s="71">
        <v>28501490.769230772</v>
      </c>
      <c r="K83" s="71"/>
      <c r="L83" s="71">
        <v>0</v>
      </c>
      <c r="M83" s="71"/>
      <c r="N83" s="71">
        <f t="shared" si="3"/>
        <v>28501490.769230772</v>
      </c>
    </row>
    <row r="84" spans="1:14" s="108" customFormat="1" ht="30.75" customHeight="1">
      <c r="A84" s="206" t="s">
        <v>120</v>
      </c>
      <c r="B84" s="171"/>
      <c r="D84" s="80">
        <v>0</v>
      </c>
      <c r="E84" s="71"/>
      <c r="F84" s="71">
        <v>0</v>
      </c>
      <c r="G84" s="71"/>
      <c r="H84" s="71">
        <f t="shared" si="2"/>
        <v>0</v>
      </c>
      <c r="I84" s="71"/>
      <c r="J84" s="71">
        <v>103191556.41509433</v>
      </c>
      <c r="K84" s="71"/>
      <c r="L84" s="71">
        <v>0</v>
      </c>
      <c r="M84" s="71"/>
      <c r="N84" s="71">
        <f t="shared" si="3"/>
        <v>103191556.41509433</v>
      </c>
    </row>
    <row r="85" spans="1:14" ht="30" customHeight="1">
      <c r="A85" s="206" t="s">
        <v>130</v>
      </c>
      <c r="B85" s="171"/>
      <c r="C85" s="108"/>
      <c r="D85" s="80">
        <v>0</v>
      </c>
      <c r="E85" s="71"/>
      <c r="F85" s="71">
        <v>0</v>
      </c>
      <c r="G85" s="71"/>
      <c r="H85" s="71">
        <f t="shared" si="2"/>
        <v>0</v>
      </c>
      <c r="I85" s="71"/>
      <c r="J85" s="71">
        <v>1431564389.1509433</v>
      </c>
      <c r="K85" s="71"/>
      <c r="L85" s="71">
        <v>0</v>
      </c>
      <c r="M85" s="71"/>
      <c r="N85" s="71">
        <f t="shared" si="3"/>
        <v>1431564389.1509433</v>
      </c>
    </row>
    <row r="86" spans="1:14" s="108" customFormat="1" ht="30.75" customHeight="1">
      <c r="A86" s="206" t="s">
        <v>267</v>
      </c>
      <c r="B86" s="171"/>
      <c r="D86" s="80">
        <v>0</v>
      </c>
      <c r="E86" s="71"/>
      <c r="F86" s="71">
        <v>0</v>
      </c>
      <c r="G86" s="71"/>
      <c r="H86" s="71">
        <f t="shared" si="2"/>
        <v>0</v>
      </c>
      <c r="I86" s="71"/>
      <c r="J86" s="71">
        <v>2643495.283018868</v>
      </c>
      <c r="K86" s="71"/>
      <c r="L86" s="71">
        <v>0</v>
      </c>
      <c r="M86" s="71"/>
      <c r="N86" s="71">
        <f t="shared" si="3"/>
        <v>2643495.283018868</v>
      </c>
    </row>
    <row r="87" spans="1:14" s="108" customFormat="1" ht="30.75" customHeight="1">
      <c r="A87" s="206" t="s">
        <v>156</v>
      </c>
      <c r="B87" s="171"/>
      <c r="D87" s="80">
        <v>0</v>
      </c>
      <c r="E87" s="71"/>
      <c r="F87" s="71">
        <v>0</v>
      </c>
      <c r="G87" s="71"/>
      <c r="H87" s="71">
        <f t="shared" si="2"/>
        <v>0</v>
      </c>
      <c r="I87" s="71"/>
      <c r="J87" s="71">
        <v>7259181982.5</v>
      </c>
      <c r="K87" s="71"/>
      <c r="L87" s="71">
        <v>0</v>
      </c>
      <c r="M87" s="71"/>
      <c r="N87" s="71">
        <f t="shared" si="3"/>
        <v>7259181982.5</v>
      </c>
    </row>
    <row r="88" spans="1:14" s="108" customFormat="1" ht="30.75" customHeight="1">
      <c r="A88" s="206" t="s">
        <v>115</v>
      </c>
      <c r="B88" s="171"/>
      <c r="D88" s="80">
        <v>0</v>
      </c>
      <c r="E88" s="71"/>
      <c r="F88" s="71">
        <v>0</v>
      </c>
      <c r="G88" s="71"/>
      <c r="H88" s="71">
        <f t="shared" si="2"/>
        <v>0</v>
      </c>
      <c r="I88" s="71"/>
      <c r="J88" s="71">
        <v>58909586.603773586</v>
      </c>
      <c r="K88" s="71"/>
      <c r="L88" s="71">
        <v>0</v>
      </c>
      <c r="M88" s="71"/>
      <c r="N88" s="71">
        <f t="shared" si="3"/>
        <v>58909586.603773586</v>
      </c>
    </row>
    <row r="89" spans="1:14" s="108" customFormat="1" ht="30.75" customHeight="1" thickBot="1">
      <c r="A89" s="206" t="s">
        <v>261</v>
      </c>
      <c r="B89" s="171"/>
      <c r="D89" s="80">
        <v>0</v>
      </c>
      <c r="E89" s="71"/>
      <c r="F89" s="71">
        <v>0</v>
      </c>
      <c r="G89" s="71"/>
      <c r="H89" s="71">
        <f t="shared" si="2"/>
        <v>0</v>
      </c>
      <c r="I89" s="71"/>
      <c r="J89" s="169">
        <v>1920928.846153846</v>
      </c>
      <c r="K89" s="71"/>
      <c r="L89" s="71">
        <v>0</v>
      </c>
      <c r="M89" s="71"/>
      <c r="N89" s="71">
        <f t="shared" si="3"/>
        <v>1920928.846153846</v>
      </c>
    </row>
    <row r="90" spans="1:14" s="108" customFormat="1" ht="30.75" customHeight="1" thickBot="1">
      <c r="A90" s="206" t="s">
        <v>253</v>
      </c>
      <c r="B90" s="171"/>
      <c r="D90" s="195">
        <v>0</v>
      </c>
      <c r="E90" s="71"/>
      <c r="F90" s="71">
        <v>0</v>
      </c>
      <c r="G90" s="71"/>
      <c r="H90" s="71">
        <f t="shared" si="2"/>
        <v>0</v>
      </c>
      <c r="I90" s="71"/>
      <c r="J90" s="71">
        <v>6740641.6981132077</v>
      </c>
      <c r="K90" s="71"/>
      <c r="L90" s="71">
        <v>0</v>
      </c>
      <c r="M90" s="71"/>
      <c r="N90" s="71">
        <f t="shared" si="3"/>
        <v>6740641.6981132077</v>
      </c>
    </row>
    <row r="91" spans="1:14" s="108" customFormat="1" ht="30.75" customHeight="1">
      <c r="A91" s="206" t="s">
        <v>258</v>
      </c>
      <c r="B91" s="171"/>
      <c r="D91" s="80">
        <v>0</v>
      </c>
      <c r="E91" s="71"/>
      <c r="F91" s="71">
        <v>0</v>
      </c>
      <c r="G91" s="71"/>
      <c r="H91" s="71">
        <f t="shared" si="2"/>
        <v>0</v>
      </c>
      <c r="I91" s="71"/>
      <c r="J91" s="71">
        <v>2364422.884615385</v>
      </c>
      <c r="K91" s="71"/>
      <c r="L91" s="71">
        <v>0</v>
      </c>
      <c r="M91" s="71"/>
      <c r="N91" s="71">
        <f t="shared" si="3"/>
        <v>2364422.884615385</v>
      </c>
    </row>
    <row r="92" spans="1:14" s="108" customFormat="1" ht="30.75" customHeight="1" thickBot="1">
      <c r="A92" s="206" t="s">
        <v>262</v>
      </c>
      <c r="B92" s="171"/>
      <c r="D92" s="196">
        <v>0</v>
      </c>
      <c r="E92" s="71"/>
      <c r="F92" s="71">
        <v>0</v>
      </c>
      <c r="G92" s="71"/>
      <c r="H92" s="71">
        <f t="shared" si="2"/>
        <v>0</v>
      </c>
      <c r="I92" s="71"/>
      <c r="J92" s="71">
        <v>2577493.557692308</v>
      </c>
      <c r="K92" s="71"/>
      <c r="L92" s="71">
        <v>0</v>
      </c>
      <c r="M92" s="71"/>
      <c r="N92" s="71">
        <f t="shared" si="3"/>
        <v>2577493.557692308</v>
      </c>
    </row>
    <row r="93" spans="1:14" s="108" customFormat="1" ht="30.75" customHeight="1" thickBot="1">
      <c r="A93" s="206" t="s">
        <v>190</v>
      </c>
      <c r="B93" s="171"/>
      <c r="D93" s="195">
        <v>0</v>
      </c>
      <c r="E93" s="71"/>
      <c r="F93" s="71">
        <v>0</v>
      </c>
      <c r="G93" s="71"/>
      <c r="H93" s="71">
        <f t="shared" si="2"/>
        <v>0</v>
      </c>
      <c r="I93" s="71"/>
      <c r="J93" s="169">
        <v>13594166506.551725</v>
      </c>
      <c r="K93" s="71"/>
      <c r="L93" s="71">
        <v>0</v>
      </c>
      <c r="M93" s="71"/>
      <c r="N93" s="71">
        <f t="shared" si="3"/>
        <v>13594166506.551725</v>
      </c>
    </row>
    <row r="94" spans="1:14" ht="30" customHeight="1" thickBot="1">
      <c r="A94" s="206" t="s">
        <v>111</v>
      </c>
      <c r="B94" s="171"/>
      <c r="C94" s="108"/>
      <c r="D94" s="80">
        <v>0</v>
      </c>
      <c r="E94" s="71"/>
      <c r="F94" s="71">
        <v>0</v>
      </c>
      <c r="G94" s="71"/>
      <c r="H94" s="71">
        <f t="shared" si="2"/>
        <v>0</v>
      </c>
      <c r="I94" s="71"/>
      <c r="J94" s="71">
        <v>19955265.283018865</v>
      </c>
      <c r="K94" s="71"/>
      <c r="L94" s="71">
        <v>0</v>
      </c>
      <c r="M94" s="71"/>
      <c r="N94" s="71">
        <f t="shared" si="3"/>
        <v>19955265.283018865</v>
      </c>
    </row>
    <row r="95" spans="1:14" s="108" customFormat="1" ht="30.75" customHeight="1" thickBot="1">
      <c r="A95" s="206" t="s">
        <v>134</v>
      </c>
      <c r="B95" s="171"/>
      <c r="D95" s="195">
        <v>0</v>
      </c>
      <c r="E95" s="71"/>
      <c r="F95" s="71">
        <v>0</v>
      </c>
      <c r="G95" s="71"/>
      <c r="H95" s="71">
        <f t="shared" si="2"/>
        <v>0</v>
      </c>
      <c r="I95" s="71"/>
      <c r="J95" s="71">
        <v>920809462.92452824</v>
      </c>
      <c r="K95" s="71"/>
      <c r="L95" s="71">
        <v>0</v>
      </c>
      <c r="M95" s="71"/>
      <c r="N95" s="71">
        <f t="shared" si="3"/>
        <v>920809462.92452824</v>
      </c>
    </row>
    <row r="96" spans="1:14" ht="30" customHeight="1" thickBot="1">
      <c r="A96" s="206" t="s">
        <v>97</v>
      </c>
      <c r="B96" s="171"/>
      <c r="C96" s="108"/>
      <c r="D96" s="80">
        <f>0+2161630</f>
        <v>2161630</v>
      </c>
      <c r="E96" s="71"/>
      <c r="F96" s="71">
        <v>0</v>
      </c>
      <c r="G96" s="71"/>
      <c r="H96" s="71">
        <f t="shared" si="2"/>
        <v>2161630</v>
      </c>
      <c r="I96" s="71"/>
      <c r="J96" s="71">
        <f>35948+8575841578</f>
        <v>8575877526</v>
      </c>
      <c r="K96" s="71"/>
      <c r="L96" s="71">
        <v>0</v>
      </c>
      <c r="M96" s="71"/>
      <c r="N96" s="71">
        <f t="shared" si="3"/>
        <v>8575877526</v>
      </c>
    </row>
    <row r="97" spans="1:14" s="108" customFormat="1" ht="30.75" customHeight="1" thickBot="1">
      <c r="A97" s="206" t="s">
        <v>108</v>
      </c>
      <c r="B97" s="171"/>
      <c r="D97" s="195">
        <v>0</v>
      </c>
      <c r="E97" s="71"/>
      <c r="F97" s="71">
        <v>0</v>
      </c>
      <c r="G97" s="71"/>
      <c r="H97" s="71">
        <f t="shared" si="2"/>
        <v>0</v>
      </c>
      <c r="I97" s="71"/>
      <c r="J97" s="71">
        <v>10554357.980769232</v>
      </c>
      <c r="K97" s="71"/>
      <c r="L97" s="71">
        <v>0</v>
      </c>
      <c r="M97" s="71"/>
      <c r="N97" s="71">
        <f t="shared" si="3"/>
        <v>10554357.980769232</v>
      </c>
    </row>
    <row r="98" spans="1:14" s="108" customFormat="1" ht="30.75" customHeight="1" thickBot="1">
      <c r="A98" s="206" t="s">
        <v>202</v>
      </c>
      <c r="B98" s="171"/>
      <c r="D98" s="195">
        <v>0</v>
      </c>
      <c r="E98" s="71"/>
      <c r="F98" s="71">
        <v>0</v>
      </c>
      <c r="G98" s="71"/>
      <c r="H98" s="71">
        <f t="shared" si="2"/>
        <v>0</v>
      </c>
      <c r="I98" s="71"/>
      <c r="J98" s="71">
        <v>11550436336.500002</v>
      </c>
      <c r="K98" s="71"/>
      <c r="L98" s="71">
        <v>0</v>
      </c>
      <c r="M98" s="71"/>
      <c r="N98" s="71">
        <f t="shared" si="3"/>
        <v>11550436336.500002</v>
      </c>
    </row>
    <row r="99" spans="1:14" s="108" customFormat="1" ht="30.75" customHeight="1" thickBot="1">
      <c r="A99" s="206" t="s">
        <v>147</v>
      </c>
      <c r="B99" s="171"/>
      <c r="D99" s="71">
        <v>11443924.76635514</v>
      </c>
      <c r="E99" s="71"/>
      <c r="F99" s="71">
        <v>0</v>
      </c>
      <c r="G99" s="71"/>
      <c r="H99" s="71">
        <f t="shared" si="2"/>
        <v>11443924.76635514</v>
      </c>
      <c r="I99" s="71"/>
      <c r="J99" s="71">
        <v>1145690481.0280373</v>
      </c>
      <c r="K99" s="71"/>
      <c r="L99" s="71">
        <v>0</v>
      </c>
      <c r="M99" s="71"/>
      <c r="N99" s="71">
        <f t="shared" si="3"/>
        <v>1145690481.0280373</v>
      </c>
    </row>
    <row r="100" spans="1:14" s="108" customFormat="1" ht="30.75" customHeight="1" thickBot="1">
      <c r="A100" s="206" t="s">
        <v>116</v>
      </c>
      <c r="B100" s="171"/>
      <c r="D100" s="195">
        <v>0</v>
      </c>
      <c r="E100" s="71"/>
      <c r="F100" s="71">
        <v>0</v>
      </c>
      <c r="G100" s="71"/>
      <c r="H100" s="71">
        <f t="shared" si="2"/>
        <v>0</v>
      </c>
      <c r="I100" s="71"/>
      <c r="J100" s="71">
        <v>3312018277.5862069</v>
      </c>
      <c r="K100" s="71"/>
      <c r="L100" s="71">
        <v>0</v>
      </c>
      <c r="M100" s="71"/>
      <c r="N100" s="71">
        <f t="shared" si="3"/>
        <v>3312018277.5862069</v>
      </c>
    </row>
    <row r="101" spans="1:14" s="108" customFormat="1" ht="30.75" customHeight="1">
      <c r="A101" s="206" t="s">
        <v>114</v>
      </c>
      <c r="B101" s="171"/>
      <c r="D101" s="80">
        <v>0</v>
      </c>
      <c r="E101" s="71"/>
      <c r="F101" s="71">
        <v>0</v>
      </c>
      <c r="G101" s="71"/>
      <c r="H101" s="71">
        <f t="shared" si="2"/>
        <v>0</v>
      </c>
      <c r="I101" s="71"/>
      <c r="J101" s="71">
        <v>2858263320.6896553</v>
      </c>
      <c r="K101" s="71"/>
      <c r="L101" s="71">
        <v>0</v>
      </c>
      <c r="M101" s="71"/>
      <c r="N101" s="71">
        <f t="shared" si="3"/>
        <v>2858263320.6896553</v>
      </c>
    </row>
    <row r="102" spans="1:14" s="108" customFormat="1" ht="30.75" customHeight="1">
      <c r="A102" s="206" t="s">
        <v>150</v>
      </c>
      <c r="B102" s="171"/>
      <c r="D102" s="80">
        <v>0</v>
      </c>
      <c r="E102" s="71"/>
      <c r="F102" s="71">
        <v>0</v>
      </c>
      <c r="G102" s="71"/>
      <c r="H102" s="71">
        <f t="shared" si="2"/>
        <v>0</v>
      </c>
      <c r="I102" s="71"/>
      <c r="J102" s="71">
        <v>11624457203.831776</v>
      </c>
      <c r="K102" s="71"/>
      <c r="L102" s="71">
        <v>0</v>
      </c>
      <c r="M102" s="71"/>
      <c r="N102" s="71">
        <f t="shared" si="3"/>
        <v>11624457203.831776</v>
      </c>
    </row>
    <row r="103" spans="1:14" s="108" customFormat="1" ht="30.75" customHeight="1" thickBot="1">
      <c r="A103" s="206" t="s">
        <v>110</v>
      </c>
      <c r="B103" s="171"/>
      <c r="D103" s="80">
        <v>0</v>
      </c>
      <c r="E103" s="71"/>
      <c r="F103" s="71">
        <v>0</v>
      </c>
      <c r="G103" s="71"/>
      <c r="H103" s="71">
        <f t="shared" si="2"/>
        <v>0</v>
      </c>
      <c r="I103" s="71"/>
      <c r="J103" s="71">
        <v>13592275.961538462</v>
      </c>
      <c r="K103" s="71"/>
      <c r="L103" s="71">
        <v>0</v>
      </c>
      <c r="M103" s="71"/>
      <c r="N103" s="71">
        <f t="shared" si="3"/>
        <v>13592275.961538462</v>
      </c>
    </row>
    <row r="104" spans="1:14" s="108" customFormat="1" ht="30.75" customHeight="1" thickBot="1">
      <c r="A104" s="206" t="s">
        <v>201</v>
      </c>
      <c r="B104" s="171"/>
      <c r="D104" s="195">
        <v>0</v>
      </c>
      <c r="E104" s="71"/>
      <c r="F104" s="71">
        <v>0</v>
      </c>
      <c r="G104" s="71"/>
      <c r="H104" s="71">
        <f t="shared" si="2"/>
        <v>0</v>
      </c>
      <c r="I104" s="71"/>
      <c r="J104" s="71">
        <v>3967667780.2500005</v>
      </c>
      <c r="K104" s="71"/>
      <c r="L104" s="71">
        <v>0</v>
      </c>
      <c r="M104" s="71"/>
      <c r="N104" s="71">
        <f t="shared" si="3"/>
        <v>3967667780.2500005</v>
      </c>
    </row>
    <row r="105" spans="1:14" s="108" customFormat="1" ht="30.75" customHeight="1" thickBot="1">
      <c r="A105" s="206" t="s">
        <v>128</v>
      </c>
      <c r="B105" s="171"/>
      <c r="D105" s="195">
        <f>10066+73273148</f>
        <v>73283214</v>
      </c>
      <c r="E105" s="71"/>
      <c r="F105" s="71">
        <v>0</v>
      </c>
      <c r="G105" s="71"/>
      <c r="H105" s="71">
        <f t="shared" si="2"/>
        <v>73283214</v>
      </c>
      <c r="I105" s="71"/>
      <c r="J105" s="71">
        <f>180205+12414786978</f>
        <v>12414967183</v>
      </c>
      <c r="K105" s="71"/>
      <c r="L105" s="71">
        <v>0</v>
      </c>
      <c r="M105" s="71"/>
      <c r="N105" s="71">
        <f t="shared" si="3"/>
        <v>12414967183</v>
      </c>
    </row>
    <row r="106" spans="1:14" s="108" customFormat="1" ht="30.75" customHeight="1">
      <c r="A106" s="206" t="s">
        <v>123</v>
      </c>
      <c r="B106" s="171"/>
      <c r="D106" s="80">
        <v>0</v>
      </c>
      <c r="E106" s="71"/>
      <c r="F106" s="71">
        <v>0</v>
      </c>
      <c r="G106" s="71"/>
      <c r="H106" s="71">
        <f t="shared" si="2"/>
        <v>0</v>
      </c>
      <c r="I106" s="71"/>
      <c r="J106" s="71">
        <v>80136988.301886797</v>
      </c>
      <c r="K106" s="71"/>
      <c r="L106" s="71">
        <v>0</v>
      </c>
      <c r="M106" s="71"/>
      <c r="N106" s="71">
        <f t="shared" si="3"/>
        <v>80136988.301886797</v>
      </c>
    </row>
    <row r="107" spans="1:14" ht="30.75" customHeight="1" thickBot="1">
      <c r="A107" s="206" t="s">
        <v>247</v>
      </c>
      <c r="B107" s="167"/>
      <c r="C107" s="167"/>
      <c r="D107" s="71">
        <v>219819444</v>
      </c>
      <c r="E107" s="76"/>
      <c r="F107" s="260">
        <v>0</v>
      </c>
      <c r="G107" s="76"/>
      <c r="H107" s="71">
        <f t="shared" si="2"/>
        <v>219819444</v>
      </c>
      <c r="I107" s="74"/>
      <c r="J107" s="71">
        <v>36944704.005000003</v>
      </c>
      <c r="K107" s="71"/>
      <c r="L107" s="71">
        <v>0</v>
      </c>
      <c r="M107" s="71"/>
      <c r="N107" s="71">
        <f t="shared" si="3"/>
        <v>36944704.005000003</v>
      </c>
    </row>
    <row r="108" spans="1:14" s="108" customFormat="1" ht="30.75" customHeight="1" thickBot="1">
      <c r="A108" s="206" t="s">
        <v>136</v>
      </c>
      <c r="B108" s="171"/>
      <c r="D108" s="195">
        <v>0</v>
      </c>
      <c r="E108" s="71"/>
      <c r="F108" s="71">
        <v>0</v>
      </c>
      <c r="G108" s="71"/>
      <c r="H108" s="71">
        <f t="shared" si="2"/>
        <v>0</v>
      </c>
      <c r="I108" s="71"/>
      <c r="J108" s="71">
        <v>2904567523.3333335</v>
      </c>
      <c r="K108" s="71"/>
      <c r="L108" s="71">
        <v>0</v>
      </c>
      <c r="M108" s="71"/>
      <c r="N108" s="71">
        <f t="shared" si="3"/>
        <v>2904567523.3333335</v>
      </c>
    </row>
    <row r="109" spans="1:14" s="108" customFormat="1" ht="30.75" customHeight="1">
      <c r="A109" s="206" t="s">
        <v>124</v>
      </c>
      <c r="B109" s="171"/>
      <c r="D109" s="80">
        <v>0</v>
      </c>
      <c r="E109" s="71"/>
      <c r="F109" s="71">
        <v>0</v>
      </c>
      <c r="G109" s="71"/>
      <c r="H109" s="71">
        <f t="shared" si="2"/>
        <v>0</v>
      </c>
      <c r="I109" s="71"/>
      <c r="J109" s="71">
        <v>51828902.830188677</v>
      </c>
      <c r="K109" s="71"/>
      <c r="L109" s="71">
        <v>0</v>
      </c>
      <c r="M109" s="71"/>
      <c r="N109" s="71">
        <f t="shared" si="3"/>
        <v>51828902.830188677</v>
      </c>
    </row>
    <row r="110" spans="1:14" s="108" customFormat="1" ht="30.75" customHeight="1">
      <c r="A110" s="206" t="s">
        <v>121</v>
      </c>
      <c r="B110" s="171"/>
      <c r="D110" s="80">
        <v>0</v>
      </c>
      <c r="E110" s="71"/>
      <c r="F110" s="71">
        <v>0</v>
      </c>
      <c r="G110" s="71"/>
      <c r="H110" s="71">
        <f t="shared" si="2"/>
        <v>0</v>
      </c>
      <c r="I110" s="71"/>
      <c r="J110" s="196">
        <v>883561645</v>
      </c>
      <c r="K110" s="71"/>
      <c r="L110" s="71">
        <v>0</v>
      </c>
      <c r="M110" s="71"/>
      <c r="N110" s="71">
        <f t="shared" si="3"/>
        <v>883561645</v>
      </c>
    </row>
    <row r="111" spans="1:14" s="108" customFormat="1" ht="30.75" customHeight="1" thickBot="1">
      <c r="A111" s="206" t="s">
        <v>131</v>
      </c>
      <c r="B111" s="171"/>
      <c r="D111" s="80">
        <v>0</v>
      </c>
      <c r="E111" s="71"/>
      <c r="F111" s="71">
        <v>0</v>
      </c>
      <c r="G111" s="71"/>
      <c r="H111" s="71">
        <f t="shared" si="2"/>
        <v>0</v>
      </c>
      <c r="I111" s="71"/>
      <c r="J111" s="71">
        <v>1208835618.3333333</v>
      </c>
      <c r="K111" s="71"/>
      <c r="L111" s="71">
        <v>0</v>
      </c>
      <c r="M111" s="71"/>
      <c r="N111" s="71">
        <f t="shared" si="3"/>
        <v>1208835618.3333333</v>
      </c>
    </row>
    <row r="112" spans="1:14" s="108" customFormat="1" ht="30.75" customHeight="1" thickBot="1">
      <c r="A112" s="206" t="s">
        <v>188</v>
      </c>
      <c r="B112" s="171"/>
      <c r="D112" s="195">
        <v>0</v>
      </c>
      <c r="E112" s="71"/>
      <c r="F112" s="71">
        <v>0</v>
      </c>
      <c r="G112" s="71"/>
      <c r="H112" s="71">
        <f t="shared" si="2"/>
        <v>0</v>
      </c>
      <c r="I112" s="71"/>
      <c r="J112" s="71">
        <v>24265738358.684216</v>
      </c>
      <c r="K112" s="71"/>
      <c r="L112" s="71">
        <v>0</v>
      </c>
      <c r="M112" s="71"/>
      <c r="N112" s="71">
        <f t="shared" si="3"/>
        <v>24265738358.684216</v>
      </c>
    </row>
    <row r="113" spans="1:14" s="108" customFormat="1" ht="30.75" customHeight="1" thickBot="1">
      <c r="A113" s="206" t="s">
        <v>133</v>
      </c>
      <c r="B113" s="171"/>
      <c r="D113" s="80">
        <v>0</v>
      </c>
      <c r="E113" s="71"/>
      <c r="F113" s="71">
        <v>0</v>
      </c>
      <c r="G113" s="71"/>
      <c r="H113" s="71">
        <f t="shared" si="2"/>
        <v>0</v>
      </c>
      <c r="I113" s="71"/>
      <c r="J113" s="71">
        <v>40068495</v>
      </c>
      <c r="K113" s="71"/>
      <c r="L113" s="71">
        <v>0</v>
      </c>
      <c r="M113" s="71"/>
      <c r="N113" s="71">
        <f t="shared" si="3"/>
        <v>40068495</v>
      </c>
    </row>
    <row r="114" spans="1:14" s="108" customFormat="1" ht="30.75" customHeight="1" thickBot="1">
      <c r="A114" s="206" t="s">
        <v>122</v>
      </c>
      <c r="B114" s="171"/>
      <c r="D114" s="195">
        <v>0</v>
      </c>
      <c r="E114" s="80"/>
      <c r="F114" s="80">
        <v>0</v>
      </c>
      <c r="G114" s="80"/>
      <c r="H114" s="71">
        <f t="shared" si="2"/>
        <v>0</v>
      </c>
      <c r="I114" s="80"/>
      <c r="J114" s="169">
        <v>140235401.03773585</v>
      </c>
      <c r="K114" s="71"/>
      <c r="L114" s="71">
        <v>0</v>
      </c>
      <c r="M114" s="71"/>
      <c r="N114" s="71">
        <f t="shared" si="3"/>
        <v>140235401.03773585</v>
      </c>
    </row>
    <row r="115" spans="1:14" s="108" customFormat="1" ht="30.75" customHeight="1">
      <c r="A115" s="206" t="s">
        <v>135</v>
      </c>
      <c r="B115" s="171"/>
      <c r="D115" s="80">
        <v>0</v>
      </c>
      <c r="E115" s="71"/>
      <c r="F115" s="71">
        <v>0</v>
      </c>
      <c r="G115" s="71"/>
      <c r="H115" s="71">
        <f t="shared" si="2"/>
        <v>0</v>
      </c>
      <c r="I115" s="71"/>
      <c r="J115" s="169">
        <v>2568975880</v>
      </c>
      <c r="K115" s="71"/>
      <c r="L115" s="71">
        <v>0</v>
      </c>
      <c r="M115" s="71"/>
      <c r="N115" s="71">
        <f t="shared" si="3"/>
        <v>2568975880</v>
      </c>
    </row>
    <row r="116" spans="1:14" ht="30" customHeight="1" thickBot="1">
      <c r="A116" s="206" t="s">
        <v>182</v>
      </c>
      <c r="B116" s="171"/>
      <c r="C116" s="108"/>
      <c r="D116" s="80">
        <v>0</v>
      </c>
      <c r="E116" s="71"/>
      <c r="F116" s="71">
        <v>0</v>
      </c>
      <c r="G116" s="71"/>
      <c r="H116" s="71">
        <f t="shared" si="2"/>
        <v>0</v>
      </c>
      <c r="I116" s="71"/>
      <c r="J116" s="71">
        <v>6780821916.272727</v>
      </c>
      <c r="K116" s="71"/>
      <c r="L116" s="71">
        <v>0</v>
      </c>
      <c r="M116" s="71"/>
      <c r="N116" s="71">
        <f t="shared" si="3"/>
        <v>6780821916.272727</v>
      </c>
    </row>
    <row r="117" spans="1:14" s="108" customFormat="1" ht="30.75" customHeight="1" thickBot="1">
      <c r="A117" s="206" t="s">
        <v>176</v>
      </c>
      <c r="B117" s="171"/>
      <c r="D117" s="195">
        <v>0</v>
      </c>
      <c r="E117" s="71"/>
      <c r="F117" s="71">
        <v>0</v>
      </c>
      <c r="G117" s="71"/>
      <c r="H117" s="71">
        <f t="shared" si="2"/>
        <v>0</v>
      </c>
      <c r="I117" s="71"/>
      <c r="J117" s="71">
        <v>5424657534</v>
      </c>
      <c r="K117" s="71"/>
      <c r="L117" s="71">
        <v>0</v>
      </c>
      <c r="M117" s="71"/>
      <c r="N117" s="71">
        <f t="shared" si="3"/>
        <v>5424657534</v>
      </c>
    </row>
    <row r="118" spans="1:14" s="108" customFormat="1" ht="30.75" customHeight="1" thickBot="1">
      <c r="A118" s="206" t="s">
        <v>169</v>
      </c>
      <c r="B118" s="171"/>
      <c r="D118" s="195">
        <v>3262</v>
      </c>
      <c r="E118" s="71"/>
      <c r="F118" s="71">
        <v>0</v>
      </c>
      <c r="G118" s="71"/>
      <c r="H118" s="71">
        <f t="shared" si="2"/>
        <v>3262</v>
      </c>
      <c r="I118" s="71"/>
      <c r="J118" s="71">
        <f>20028+3226123943</f>
        <v>3226143971</v>
      </c>
      <c r="K118" s="71"/>
      <c r="L118" s="71">
        <v>0</v>
      </c>
      <c r="M118" s="71"/>
      <c r="N118" s="71">
        <f t="shared" si="3"/>
        <v>3226143971</v>
      </c>
    </row>
    <row r="119" spans="1:14" s="108" customFormat="1" ht="30.75" customHeight="1">
      <c r="A119" s="206" t="s">
        <v>129</v>
      </c>
      <c r="B119" s="171"/>
      <c r="D119" s="71">
        <v>0</v>
      </c>
      <c r="E119" s="71"/>
      <c r="F119" s="71">
        <v>0</v>
      </c>
      <c r="G119" s="71"/>
      <c r="H119" s="71">
        <f t="shared" si="2"/>
        <v>0</v>
      </c>
      <c r="I119" s="71"/>
      <c r="J119" s="71">
        <v>276756</v>
      </c>
      <c r="K119" s="71"/>
      <c r="L119" s="71">
        <v>0</v>
      </c>
      <c r="M119" s="71"/>
      <c r="N119" s="71">
        <f t="shared" si="3"/>
        <v>276756</v>
      </c>
    </row>
    <row r="120" spans="1:14" s="108" customFormat="1" ht="30.75" customHeight="1">
      <c r="A120" s="206" t="s">
        <v>102</v>
      </c>
      <c r="B120" s="171"/>
      <c r="D120" s="80">
        <v>0</v>
      </c>
      <c r="E120" s="71"/>
      <c r="F120" s="71">
        <v>0</v>
      </c>
      <c r="G120" s="71"/>
      <c r="H120" s="71">
        <f t="shared" si="2"/>
        <v>0</v>
      </c>
      <c r="I120" s="71"/>
      <c r="J120" s="71">
        <f>49192+163699460</f>
        <v>163748652</v>
      </c>
      <c r="K120" s="71"/>
      <c r="L120" s="71">
        <v>0</v>
      </c>
      <c r="M120" s="71"/>
      <c r="N120" s="71">
        <f t="shared" si="3"/>
        <v>163748652</v>
      </c>
    </row>
    <row r="121" spans="1:14" s="108" customFormat="1" ht="30.75" customHeight="1" thickBot="1">
      <c r="A121" s="206"/>
      <c r="B121" s="171"/>
      <c r="C121" s="100">
        <f>SUM(C8:C120)</f>
        <v>0</v>
      </c>
      <c r="D121" s="100">
        <f>SUM(D7:D120)</f>
        <v>4261167069.766355</v>
      </c>
      <c r="E121" s="100">
        <f>SUM(E8:E120)</f>
        <v>0</v>
      </c>
      <c r="F121" s="100">
        <f>SUM(F7:F120)</f>
        <v>-1246769</v>
      </c>
      <c r="G121" s="100">
        <f>SUM(G8:G120)</f>
        <v>0</v>
      </c>
      <c r="H121" s="100">
        <f>SUM(H7:H120)</f>
        <v>4259920300.766355</v>
      </c>
      <c r="I121" s="100">
        <f>SUM(I8:I120)</f>
        <v>0</v>
      </c>
      <c r="J121" s="100">
        <f>SUM(J7:J120)</f>
        <v>242325345354.21573</v>
      </c>
      <c r="K121" s="71"/>
      <c r="L121" s="100">
        <f>SUM(L7:L120)</f>
        <v>-5722368</v>
      </c>
      <c r="M121" s="71"/>
      <c r="N121" s="100">
        <f>SUM(N7:N120)</f>
        <v>242319622986.21573</v>
      </c>
    </row>
    <row r="122" spans="1:14" ht="30.75" customHeight="1" thickTop="1"/>
  </sheetData>
  <autoFilter ref="A6:N121" xr:uid="{00000000-0009-0000-0000-000006000000}">
    <sortState xmlns:xlrd2="http://schemas.microsoft.com/office/spreadsheetml/2017/richdata2" ref="A7:N121">
      <sortCondition descending="1" ref="L6:L121"/>
    </sortState>
  </autoFilter>
  <mergeCells count="6">
    <mergeCell ref="A4:D4"/>
    <mergeCell ref="J5:N5"/>
    <mergeCell ref="A1:N1"/>
    <mergeCell ref="A2:N2"/>
    <mergeCell ref="A3:N3"/>
    <mergeCell ref="D5:H5"/>
  </mergeCells>
  <phoneticPr fontId="52" type="noConversion"/>
  <printOptions horizontalCentered="1"/>
  <pageMargins left="0.25" right="0.25" top="0.75" bottom="0.75" header="0.3" footer="0.3"/>
  <pageSetup paperSize="9" scale="35" fitToHeight="0" orientation="portrait" r:id="rId1"/>
  <rowBreaks count="1" manualBreakCount="1">
    <brk id="51" max="1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16EB4-AE23-46F1-A227-5E83822B4F72}">
  <dimension ref="A1:AH52"/>
  <sheetViews>
    <sheetView rightToLeft="1" view="pageBreakPreview" zoomScale="160" zoomScaleNormal="100" zoomScaleSheetLayoutView="160" workbookViewId="0">
      <selection activeCell="B12" sqref="B12"/>
    </sheetView>
  </sheetViews>
  <sheetFormatPr defaultRowHeight="15"/>
  <cols>
    <col min="1" max="1" width="15.85546875" customWidth="1"/>
    <col min="2" max="2" width="14.85546875" customWidth="1"/>
    <col min="3" max="3" width="7.5703125" bestFit="1" customWidth="1"/>
    <col min="4" max="4" width="8" customWidth="1"/>
    <col min="5" max="5" width="13.42578125" customWidth="1"/>
    <col min="6" max="6" width="13.85546875" customWidth="1"/>
    <col min="7" max="7" width="6.140625" customWidth="1"/>
    <col min="8" max="8" width="12.5703125" customWidth="1"/>
    <col min="9" max="9" width="0.42578125" customWidth="1"/>
  </cols>
  <sheetData>
    <row r="1" spans="1:17" ht="21">
      <c r="A1" s="367" t="s">
        <v>84</v>
      </c>
      <c r="B1" s="367"/>
      <c r="C1" s="367"/>
      <c r="D1" s="367"/>
      <c r="E1" s="367"/>
      <c r="F1" s="367"/>
      <c r="G1" s="367"/>
      <c r="H1" s="367"/>
      <c r="I1" s="367"/>
      <c r="J1" s="234"/>
      <c r="K1" s="234"/>
      <c r="L1" s="234"/>
      <c r="M1" s="234"/>
      <c r="N1" s="234"/>
      <c r="O1" s="234"/>
      <c r="P1" s="234"/>
      <c r="Q1" s="234"/>
    </row>
    <row r="2" spans="1:17" ht="21">
      <c r="A2" s="367" t="s">
        <v>47</v>
      </c>
      <c r="B2" s="367"/>
      <c r="C2" s="367"/>
      <c r="D2" s="367"/>
      <c r="E2" s="367"/>
      <c r="F2" s="367"/>
      <c r="G2" s="367"/>
      <c r="H2" s="367"/>
      <c r="I2" s="367"/>
      <c r="J2" s="234"/>
      <c r="K2" s="234"/>
      <c r="L2" s="234"/>
      <c r="M2" s="234"/>
      <c r="N2" s="234"/>
      <c r="O2" s="234"/>
      <c r="P2" s="234"/>
      <c r="Q2" s="234"/>
    </row>
    <row r="3" spans="1:17" ht="21">
      <c r="A3" s="367" t="str">
        <f>سپرده!A3</f>
        <v>برای ماه منتهی به 1403/07/30</v>
      </c>
      <c r="B3" s="367"/>
      <c r="C3" s="367"/>
      <c r="D3" s="367"/>
      <c r="E3" s="367"/>
      <c r="F3" s="367"/>
      <c r="G3" s="367"/>
      <c r="H3" s="367"/>
      <c r="I3" s="367"/>
      <c r="J3" s="234"/>
      <c r="K3" s="234"/>
      <c r="L3" s="234"/>
      <c r="M3" s="234"/>
      <c r="N3" s="234"/>
      <c r="O3" s="234"/>
      <c r="P3" s="234"/>
      <c r="Q3" s="234"/>
    </row>
    <row r="5" spans="1:17">
      <c r="A5" s="368" t="s">
        <v>219</v>
      </c>
      <c r="B5" s="368"/>
      <c r="C5" s="368"/>
      <c r="D5" s="368"/>
      <c r="E5" s="368"/>
      <c r="F5" s="368"/>
      <c r="G5" s="368"/>
      <c r="H5" s="368"/>
      <c r="I5" s="368"/>
      <c r="J5" s="368"/>
      <c r="K5" s="368"/>
      <c r="L5" s="368"/>
      <c r="M5" s="368"/>
      <c r="N5" s="368"/>
      <c r="O5" s="368"/>
      <c r="P5" s="368"/>
      <c r="Q5" s="368"/>
    </row>
    <row r="7" spans="1:17" ht="38.25">
      <c r="A7" s="235" t="s">
        <v>220</v>
      </c>
      <c r="B7" s="235" t="s">
        <v>221</v>
      </c>
      <c r="C7" s="235" t="s">
        <v>222</v>
      </c>
      <c r="D7" s="235" t="s">
        <v>223</v>
      </c>
      <c r="E7" s="235" t="s">
        <v>224</v>
      </c>
      <c r="F7" s="236" t="s">
        <v>225</v>
      </c>
      <c r="G7" s="238" t="s">
        <v>226</v>
      </c>
      <c r="H7" s="236" t="s">
        <v>250</v>
      </c>
    </row>
    <row r="8" spans="1:17" ht="21">
      <c r="A8" s="239" t="s">
        <v>248</v>
      </c>
      <c r="B8" s="239" t="s">
        <v>248</v>
      </c>
      <c r="C8" s="239" t="s">
        <v>249</v>
      </c>
      <c r="D8" s="263">
        <f>اوراق!Y13</f>
        <v>520000</v>
      </c>
      <c r="E8" s="263">
        <f>اوراق!AC13</f>
        <v>520000000000</v>
      </c>
      <c r="F8" s="394">
        <v>35666680327</v>
      </c>
      <c r="G8" s="264">
        <v>0.23</v>
      </c>
      <c r="H8" s="264">
        <v>0.39</v>
      </c>
    </row>
    <row r="9" spans="1:17" ht="17.25">
      <c r="A9" s="359" t="s">
        <v>242</v>
      </c>
      <c r="B9" s="359"/>
      <c r="C9" s="359"/>
      <c r="D9" s="359"/>
      <c r="E9" s="359"/>
      <c r="F9" s="359"/>
    </row>
    <row r="19" spans="1:1">
      <c r="A19" t="s">
        <v>243</v>
      </c>
    </row>
    <row r="52" spans="34:34">
      <c r="AH52" t="s">
        <v>244</v>
      </c>
    </row>
  </sheetData>
  <mergeCells count="5">
    <mergeCell ref="A9:F9"/>
    <mergeCell ref="A1:I1"/>
    <mergeCell ref="A2:I2"/>
    <mergeCell ref="A5:Q5"/>
    <mergeCell ref="A3:I3"/>
  </mergeCells>
  <pageMargins left="0.7" right="0.7" top="0.75" bottom="0.75" header="0.3" footer="0.3"/>
  <pageSetup scale="81" orientation="portrait" r:id="rId1"/>
  <colBreaks count="1" manualBreakCount="1">
    <brk id="8" max="9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theme="4" tint="0.79998168889431442"/>
  </sheetPr>
  <dimension ref="A1:F10"/>
  <sheetViews>
    <sheetView rightToLeft="1" view="pageBreakPreview" zoomScaleNormal="100" zoomScaleSheetLayoutView="100" workbookViewId="0">
      <selection activeCell="E13" sqref="E13"/>
    </sheetView>
  </sheetViews>
  <sheetFormatPr defaultColWidth="9.140625" defaultRowHeight="18"/>
  <cols>
    <col min="1" max="1" width="32.42578125" style="135" customWidth="1"/>
    <col min="2" max="2" width="1.42578125" style="135" customWidth="1"/>
    <col min="3" max="3" width="17.7109375" style="135" bestFit="1" customWidth="1"/>
    <col min="4" max="4" width="0.85546875" style="135" customWidth="1"/>
    <col min="5" max="5" width="18.140625" style="135" customWidth="1"/>
    <col min="6" max="6" width="16.5703125" style="135" customWidth="1"/>
    <col min="7" max="16384" width="9.140625" style="135"/>
  </cols>
  <sheetData>
    <row r="1" spans="1:6" s="182" customFormat="1" ht="18.75">
      <c r="A1" s="320" t="s">
        <v>84</v>
      </c>
      <c r="B1" s="320"/>
      <c r="C1" s="320"/>
      <c r="D1" s="320"/>
      <c r="E1" s="320"/>
    </row>
    <row r="2" spans="1:6" s="182" customFormat="1" ht="18.75">
      <c r="A2" s="320" t="s">
        <v>53</v>
      </c>
      <c r="B2" s="320"/>
      <c r="C2" s="320"/>
      <c r="D2" s="320"/>
      <c r="E2" s="320"/>
    </row>
    <row r="3" spans="1:6" s="182" customFormat="1" ht="18.75">
      <c r="A3" s="320" t="str">
        <f>' سهام'!A3:W3</f>
        <v>برای ماه منتهی به 1403/07/30</v>
      </c>
      <c r="B3" s="320"/>
      <c r="C3" s="320"/>
      <c r="D3" s="320"/>
      <c r="E3" s="320"/>
    </row>
    <row r="4" spans="1:6" ht="18.75">
      <c r="A4" s="323" t="s">
        <v>29</v>
      </c>
      <c r="B4" s="323"/>
      <c r="C4" s="323"/>
      <c r="D4" s="323"/>
      <c r="E4" s="323"/>
    </row>
    <row r="5" spans="1:6" ht="49.5" customHeight="1" thickBot="1">
      <c r="A5" s="173"/>
      <c r="B5" s="174"/>
      <c r="C5" s="183" t="s">
        <v>299</v>
      </c>
      <c r="D5" s="139"/>
      <c r="E5" s="183" t="s">
        <v>303</v>
      </c>
    </row>
    <row r="6" spans="1:6" ht="18.75">
      <c r="A6" s="355"/>
      <c r="B6" s="356"/>
      <c r="C6" s="352" t="s">
        <v>6</v>
      </c>
      <c r="D6" s="175"/>
      <c r="E6" s="352" t="s">
        <v>6</v>
      </c>
    </row>
    <row r="7" spans="1:6" ht="18.75" thickBot="1">
      <c r="A7" s="356"/>
      <c r="B7" s="356"/>
      <c r="C7" s="354"/>
      <c r="D7" s="177"/>
      <c r="E7" s="354"/>
    </row>
    <row r="8" spans="1:6" ht="25.9" customHeight="1">
      <c r="A8" s="184" t="s">
        <v>113</v>
      </c>
      <c r="B8" s="7"/>
      <c r="C8" s="216">
        <v>800992</v>
      </c>
      <c r="D8" s="68"/>
      <c r="E8" s="68">
        <v>13111708</v>
      </c>
      <c r="F8" s="213"/>
    </row>
    <row r="9" spans="1:6" ht="19.5" thickBot="1">
      <c r="A9" s="175" t="s">
        <v>2</v>
      </c>
      <c r="B9" s="256"/>
      <c r="C9" s="395">
        <f>SUM(C8:C8)</f>
        <v>800992</v>
      </c>
      <c r="D9" s="281"/>
      <c r="E9" s="396">
        <f>SUM(E8:E8)</f>
        <v>13111708</v>
      </c>
    </row>
    <row r="10" spans="1:6" ht="18.75" thickTop="1">
      <c r="D10" s="68"/>
    </row>
  </sheetData>
  <mergeCells count="8">
    <mergeCell ref="A1:E1"/>
    <mergeCell ref="A2:E2"/>
    <mergeCell ref="A3:E3"/>
    <mergeCell ref="E6:E7"/>
    <mergeCell ref="C6:C7"/>
    <mergeCell ref="A4:E4"/>
    <mergeCell ref="A6:A7"/>
    <mergeCell ref="B6:B7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theme="4" tint="0.79998168889431442"/>
  </sheetPr>
  <dimension ref="A1:S20"/>
  <sheetViews>
    <sheetView rightToLeft="1" view="pageBreakPreview" zoomScale="80" zoomScaleNormal="100" zoomScaleSheetLayoutView="80" workbookViewId="0">
      <selection activeCell="M8" sqref="M8"/>
    </sheetView>
  </sheetViews>
  <sheetFormatPr defaultColWidth="9.140625" defaultRowHeight="17.25"/>
  <cols>
    <col min="1" max="1" width="24.7109375" style="7" customWidth="1"/>
    <col min="2" max="2" width="0.5703125" style="7" customWidth="1"/>
    <col min="3" max="3" width="15" style="7" customWidth="1"/>
    <col min="4" max="4" width="0.85546875" style="7" customWidth="1"/>
    <col min="5" max="5" width="15.28515625" style="7" bestFit="1" customWidth="1"/>
    <col min="6" max="6" width="1.140625" style="7" customWidth="1"/>
    <col min="7" max="7" width="9.42578125" style="7" bestFit="1" customWidth="1"/>
    <col min="8" max="8" width="0.5703125" style="7" customWidth="1"/>
    <col min="9" max="9" width="19.42578125" style="7" customWidth="1"/>
    <col min="10" max="10" width="1" style="7" customWidth="1"/>
    <col min="11" max="11" width="15.28515625" style="7" customWidth="1"/>
    <col min="12" max="12" width="1.140625" style="7" customWidth="1"/>
    <col min="13" max="13" width="18.28515625" style="7" customWidth="1"/>
    <col min="14" max="14" width="1" style="7" customWidth="1"/>
    <col min="15" max="15" width="19.42578125" style="7" bestFit="1" customWidth="1"/>
    <col min="16" max="16" width="1.140625" style="7" customWidth="1"/>
    <col min="17" max="17" width="16" style="7" bestFit="1" customWidth="1"/>
    <col min="18" max="18" width="1.140625" style="7" customWidth="1"/>
    <col min="19" max="19" width="21.140625" style="7" bestFit="1" customWidth="1"/>
    <col min="20" max="20" width="2.85546875" style="7" customWidth="1"/>
    <col min="21" max="16384" width="9.140625" style="7"/>
  </cols>
  <sheetData>
    <row r="1" spans="1:19" ht="22.5">
      <c r="A1" s="351" t="s">
        <v>84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  <c r="R1" s="351"/>
      <c r="S1" s="351"/>
    </row>
    <row r="2" spans="1:19" ht="22.5">
      <c r="A2" s="351" t="s">
        <v>53</v>
      </c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51"/>
      <c r="Q2" s="351"/>
      <c r="R2" s="351"/>
      <c r="S2" s="351"/>
    </row>
    <row r="3" spans="1:19" ht="22.5">
      <c r="A3" s="351" t="s">
        <v>315</v>
      </c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  <c r="S3" s="351"/>
    </row>
    <row r="4" spans="1:19" ht="22.5">
      <c r="A4" s="371" t="s">
        <v>71</v>
      </c>
      <c r="B4" s="371"/>
      <c r="C4" s="371"/>
      <c r="D4" s="371"/>
      <c r="E4" s="371"/>
      <c r="F4" s="371"/>
      <c r="G4" s="371"/>
      <c r="H4" s="371"/>
      <c r="I4" s="372"/>
      <c r="J4" s="372"/>
      <c r="K4" s="372"/>
      <c r="L4" s="372"/>
      <c r="M4" s="372"/>
      <c r="N4" s="372"/>
      <c r="O4" s="372"/>
      <c r="P4" s="372"/>
      <c r="Q4" s="371"/>
      <c r="R4" s="371"/>
      <c r="S4" s="371"/>
    </row>
    <row r="6" spans="1:19" ht="18.75">
      <c r="C6" s="369" t="s">
        <v>72</v>
      </c>
      <c r="D6" s="370"/>
      <c r="E6" s="370"/>
      <c r="F6" s="370"/>
      <c r="G6" s="370"/>
      <c r="I6" s="369" t="s">
        <v>73</v>
      </c>
      <c r="J6" s="370"/>
      <c r="K6" s="370"/>
      <c r="L6" s="370"/>
      <c r="M6" s="370"/>
      <c r="O6" s="369" t="s">
        <v>316</v>
      </c>
      <c r="P6" s="370"/>
      <c r="Q6" s="370"/>
      <c r="R6" s="370"/>
      <c r="S6" s="370"/>
    </row>
    <row r="7" spans="1:19" ht="56.25">
      <c r="A7" s="17" t="s">
        <v>74</v>
      </c>
      <c r="C7" s="14" t="s">
        <v>75</v>
      </c>
      <c r="E7" s="14" t="s">
        <v>76</v>
      </c>
      <c r="G7" s="14" t="s">
        <v>77</v>
      </c>
      <c r="I7" s="14" t="s">
        <v>78</v>
      </c>
      <c r="K7" s="14" t="s">
        <v>79</v>
      </c>
      <c r="M7" s="14" t="s">
        <v>80</v>
      </c>
      <c r="O7" s="14" t="s">
        <v>78</v>
      </c>
      <c r="Q7" s="14" t="s">
        <v>79</v>
      </c>
      <c r="S7" s="14" t="s">
        <v>80</v>
      </c>
    </row>
    <row r="8" spans="1:19" ht="21.75">
      <c r="A8" s="62" t="s">
        <v>86</v>
      </c>
      <c r="B8" s="13"/>
      <c r="C8" s="21" t="s">
        <v>85</v>
      </c>
      <c r="D8" s="8"/>
      <c r="E8" s="21" t="s">
        <v>85</v>
      </c>
      <c r="F8" s="8"/>
      <c r="G8" s="34">
        <v>0</v>
      </c>
      <c r="H8" s="8"/>
      <c r="I8" s="32">
        <v>0</v>
      </c>
      <c r="J8" s="32"/>
      <c r="K8" s="32">
        <v>0</v>
      </c>
      <c r="L8" s="32"/>
      <c r="M8" s="32">
        <f>I8+K8</f>
        <v>0</v>
      </c>
      <c r="N8" s="32"/>
      <c r="O8" s="32">
        <v>0</v>
      </c>
      <c r="P8" s="32"/>
      <c r="Q8" s="32">
        <v>0</v>
      </c>
      <c r="R8" s="32"/>
      <c r="S8" s="32">
        <f>O8+Q8</f>
        <v>0</v>
      </c>
    </row>
    <row r="9" spans="1:19" ht="18.75" thickBot="1">
      <c r="A9" s="15" t="s">
        <v>81</v>
      </c>
      <c r="I9" s="33">
        <f>SUM(I8:I8)</f>
        <v>0</v>
      </c>
      <c r="J9" s="15" t="e">
        <f>SUM(#REF!)</f>
        <v>#REF!</v>
      </c>
      <c r="K9" s="33">
        <f>SUM(K8:K8)</f>
        <v>0</v>
      </c>
      <c r="L9" s="15" t="e">
        <f>SUM(#REF!)</f>
        <v>#REF!</v>
      </c>
      <c r="M9" s="33">
        <f>SUM(M8:M8)</f>
        <v>0</v>
      </c>
      <c r="N9" s="15" t="e">
        <f>SUM(#REF!)</f>
        <v>#REF!</v>
      </c>
      <c r="O9" s="33">
        <f>SUM(O8:O8)</f>
        <v>0</v>
      </c>
      <c r="P9" s="15"/>
      <c r="Q9" s="33">
        <f>SUM(Q8)</f>
        <v>0</v>
      </c>
      <c r="R9" s="15" t="e">
        <f>SUM(#REF!)</f>
        <v>#REF!</v>
      </c>
      <c r="S9" s="33">
        <f>SUM(S8:S8)</f>
        <v>0</v>
      </c>
    </row>
    <row r="10" spans="1:19" ht="18.75" thickTop="1">
      <c r="I10" s="16"/>
      <c r="K10" s="16"/>
      <c r="M10" s="16"/>
      <c r="O10" s="16"/>
      <c r="Q10" s="16"/>
      <c r="S10" s="16"/>
    </row>
    <row r="11" spans="1:19" ht="16.5" customHeight="1"/>
    <row r="12" spans="1:19" s="32" customFormat="1" ht="18"/>
    <row r="13" spans="1:19" s="32" customFormat="1" ht="18"/>
    <row r="14" spans="1:19" s="32" customFormat="1" ht="18"/>
    <row r="15" spans="1:19" s="32" customFormat="1" ht="18"/>
    <row r="16" spans="1:19" s="32" customFormat="1" ht="18"/>
    <row r="17" s="32" customFormat="1" ht="18"/>
    <row r="18" s="32" customFormat="1" ht="18"/>
    <row r="19" s="32" customFormat="1" ht="18"/>
    <row r="20" s="32" customFormat="1" ht="18"/>
  </sheetData>
  <autoFilter ref="A7:S7" xr:uid="{00000000-0009-0000-0000-000007000000}">
    <sortState xmlns:xlrd2="http://schemas.microsoft.com/office/spreadsheetml/2017/richdata2" ref="A8:S27">
      <sortCondition descending="1" ref="S7"/>
    </sortState>
  </autoFilter>
  <mergeCells count="9">
    <mergeCell ref="C6:G6"/>
    <mergeCell ref="I6:M6"/>
    <mergeCell ref="O6:S6"/>
    <mergeCell ref="A1:S1"/>
    <mergeCell ref="A2:S2"/>
    <mergeCell ref="A4:H4"/>
    <mergeCell ref="I4:P4"/>
    <mergeCell ref="Q4:S4"/>
    <mergeCell ref="A3:S3"/>
  </mergeCells>
  <pageMargins left="0.7" right="0.7" top="0.75" bottom="0.75" header="0.3" footer="0.3"/>
  <pageSetup scale="4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theme="4" tint="0.79998168889431442"/>
    <pageSetUpPr fitToPage="1"/>
  </sheetPr>
  <dimension ref="A1:Y18"/>
  <sheetViews>
    <sheetView rightToLeft="1" view="pageBreakPreview" zoomScale="90" zoomScaleNormal="100" zoomScaleSheetLayoutView="90" workbookViewId="0">
      <selection activeCell="I16" sqref="I16"/>
    </sheetView>
  </sheetViews>
  <sheetFormatPr defaultColWidth="9.140625" defaultRowHeight="17.25"/>
  <cols>
    <col min="1" max="1" width="39" style="7" customWidth="1"/>
    <col min="2" max="2" width="1.28515625" style="7" customWidth="1"/>
    <col min="3" max="3" width="9.85546875" style="7" customWidth="1"/>
    <col min="4" max="4" width="0.85546875" style="7" customWidth="1"/>
    <col min="5" max="5" width="23.85546875" style="81" bestFit="1" customWidth="1"/>
    <col min="6" max="6" width="0.5703125" style="81" customWidth="1"/>
    <col min="7" max="7" width="24.7109375" style="81" bestFit="1" customWidth="1"/>
    <col min="8" max="8" width="0.85546875" style="81" customWidth="1"/>
    <col min="9" max="9" width="26" style="82" customWidth="1"/>
    <col min="10" max="10" width="0.5703125" style="82" customWidth="1"/>
    <col min="11" max="11" width="15.5703125" style="82" customWidth="1"/>
    <col min="12" max="12" width="0.42578125" style="82" customWidth="1"/>
    <col min="13" max="13" width="22.28515625" style="82" customWidth="1"/>
    <col min="14" max="14" width="0.42578125" style="82" customWidth="1"/>
    <col min="15" max="15" width="22.28515625" style="82" customWidth="1"/>
    <col min="16" max="16" width="0.5703125" style="82" customWidth="1"/>
    <col min="17" max="17" width="21.7109375" style="82" customWidth="1"/>
    <col min="18" max="18" width="16.85546875" style="7" hidden="1" customWidth="1"/>
    <col min="19" max="19" width="16.42578125" style="7" hidden="1" customWidth="1"/>
    <col min="20" max="20" width="18.85546875" style="7" hidden="1" customWidth="1"/>
    <col min="21" max="21" width="13.5703125" style="7" hidden="1" customWidth="1"/>
    <col min="22" max="22" width="14.85546875" style="7" hidden="1" customWidth="1"/>
    <col min="23" max="23" width="0" style="7" hidden="1" customWidth="1"/>
    <col min="24" max="24" width="18.42578125" style="7" hidden="1" customWidth="1"/>
    <col min="25" max="25" width="0" style="7" hidden="1" customWidth="1"/>
    <col min="26" max="16384" width="9.140625" style="7"/>
  </cols>
  <sheetData>
    <row r="1" spans="1:25" ht="22.5">
      <c r="A1" s="351" t="s">
        <v>84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</row>
    <row r="2" spans="1:25" ht="22.5">
      <c r="A2" s="351" t="s">
        <v>53</v>
      </c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51"/>
      <c r="Q2" s="351"/>
    </row>
    <row r="3" spans="1:25" ht="22.5">
      <c r="A3" s="351" t="str">
        <f>' سهام'!A3:W3</f>
        <v>برای ماه منتهی به 1403/07/30</v>
      </c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1"/>
    </row>
    <row r="4" spans="1:25" ht="22.5">
      <c r="A4" s="371" t="s">
        <v>60</v>
      </c>
      <c r="B4" s="371"/>
      <c r="C4" s="371"/>
      <c r="D4" s="371"/>
      <c r="E4" s="371"/>
      <c r="F4" s="371"/>
      <c r="G4" s="371"/>
      <c r="H4" s="371"/>
      <c r="I4" s="371"/>
      <c r="J4" s="378"/>
      <c r="K4" s="378"/>
      <c r="L4" s="378"/>
      <c r="M4" s="378"/>
      <c r="N4" s="378"/>
      <c r="O4" s="378"/>
      <c r="P4" s="378"/>
      <c r="Q4" s="378"/>
    </row>
    <row r="5" spans="1:25" ht="15.75" customHeight="1" thickBot="1">
      <c r="A5" s="108"/>
      <c r="B5" s="108"/>
      <c r="C5" s="376" t="s">
        <v>301</v>
      </c>
      <c r="D5" s="376"/>
      <c r="E5" s="376"/>
      <c r="F5" s="376"/>
      <c r="G5" s="376"/>
      <c r="H5" s="376"/>
      <c r="I5" s="376"/>
      <c r="J5" s="12"/>
      <c r="K5" s="377" t="s">
        <v>302</v>
      </c>
      <c r="L5" s="377"/>
      <c r="M5" s="377"/>
      <c r="N5" s="377"/>
      <c r="O5" s="377"/>
      <c r="P5" s="377"/>
      <c r="Q5" s="377"/>
    </row>
    <row r="6" spans="1:25" ht="22.5" thickBot="1">
      <c r="A6" s="190" t="s">
        <v>35</v>
      </c>
      <c r="B6" s="190"/>
      <c r="C6" s="191" t="s">
        <v>3</v>
      </c>
      <c r="D6" s="190"/>
      <c r="E6" s="192" t="s">
        <v>42</v>
      </c>
      <c r="F6" s="78"/>
      <c r="G6" s="193" t="s">
        <v>39</v>
      </c>
      <c r="H6" s="78"/>
      <c r="I6" s="87" t="s">
        <v>43</v>
      </c>
      <c r="J6" s="12"/>
      <c r="K6" s="86" t="s">
        <v>3</v>
      </c>
      <c r="L6" s="79"/>
      <c r="M6" s="87" t="s">
        <v>42</v>
      </c>
      <c r="N6" s="79"/>
      <c r="O6" s="86" t="s">
        <v>39</v>
      </c>
      <c r="P6" s="79"/>
      <c r="Q6" s="194" t="s">
        <v>43</v>
      </c>
      <c r="T6" s="274"/>
    </row>
    <row r="7" spans="1:25" ht="21.75">
      <c r="A7" s="270" t="s">
        <v>117</v>
      </c>
      <c r="B7" s="190"/>
      <c r="C7" s="189">
        <v>0</v>
      </c>
      <c r="D7" s="257"/>
      <c r="E7" s="189">
        <f>IFERROR(VLOOKUP(A7,اوراق!$A$9:$AG$13,23,0),0)</f>
        <v>0</v>
      </c>
      <c r="F7" s="71"/>
      <c r="G7" s="80">
        <v>0</v>
      </c>
      <c r="H7" s="78"/>
      <c r="I7" s="71">
        <f>E7+G7</f>
        <v>0</v>
      </c>
      <c r="J7" s="12"/>
      <c r="K7" s="89">
        <v>198700</v>
      </c>
      <c r="L7" s="79"/>
      <c r="M7" s="80">
        <v>192395802792</v>
      </c>
      <c r="N7" s="80"/>
      <c r="O7" s="80">
        <v>-192519188132</v>
      </c>
      <c r="P7" s="208"/>
      <c r="Q7" s="71">
        <f>M7+O7</f>
        <v>-123385340</v>
      </c>
      <c r="R7" s="162" t="s">
        <v>268</v>
      </c>
      <c r="S7" s="162" t="s">
        <v>269</v>
      </c>
      <c r="T7" s="162" t="s">
        <v>288</v>
      </c>
      <c r="U7" s="162" t="s">
        <v>289</v>
      </c>
      <c r="X7" s="7">
        <v>-123385340</v>
      </c>
      <c r="Y7" s="162">
        <f>X7-Q7</f>
        <v>0</v>
      </c>
    </row>
    <row r="8" spans="1:25" ht="21.75">
      <c r="A8" s="270" t="s">
        <v>125</v>
      </c>
      <c r="B8" s="190"/>
      <c r="C8" s="189">
        <v>0</v>
      </c>
      <c r="D8" s="257"/>
      <c r="E8" s="189">
        <f>IFERROR(VLOOKUP(A8,اوراق!$A$9:$AG$13,23,0),0)</f>
        <v>0</v>
      </c>
      <c r="F8" s="71"/>
      <c r="G8" s="80">
        <v>0</v>
      </c>
      <c r="H8" s="78"/>
      <c r="I8" s="71">
        <f t="shared" ref="I8:I15" si="0">E8+G8</f>
        <v>0</v>
      </c>
      <c r="J8" s="12"/>
      <c r="K8" s="89">
        <v>150000</v>
      </c>
      <c r="L8" s="79"/>
      <c r="M8" s="80">
        <v>152303492193</v>
      </c>
      <c r="N8" s="80"/>
      <c r="O8" s="80">
        <v>-153313937318</v>
      </c>
      <c r="P8" s="208"/>
      <c r="Q8" s="71">
        <f t="shared" ref="Q8:Q15" si="1">M8+O8</f>
        <v>-1010445125</v>
      </c>
      <c r="R8" s="162" t="s">
        <v>290</v>
      </c>
      <c r="S8" s="162">
        <v>132610</v>
      </c>
      <c r="T8" s="162">
        <v>120006308608</v>
      </c>
      <c r="U8" s="162">
        <v>11817330575</v>
      </c>
      <c r="V8" s="162">
        <f>T8-U8</f>
        <v>108188978033</v>
      </c>
      <c r="X8" s="7">
        <v>-1010445125</v>
      </c>
      <c r="Y8" s="162">
        <f t="shared" ref="Y8:Y15" si="2">X8-Q8</f>
        <v>0</v>
      </c>
    </row>
    <row r="9" spans="1:25" ht="21.75">
      <c r="A9" s="270" t="s">
        <v>139</v>
      </c>
      <c r="B9" s="190"/>
      <c r="C9" s="189">
        <v>0</v>
      </c>
      <c r="D9" s="257"/>
      <c r="E9" s="189">
        <f>IFERROR(VLOOKUP(A9,اوراق!$A$9:$AG$13,23,0),0)</f>
        <v>0</v>
      </c>
      <c r="F9" s="71"/>
      <c r="G9" s="80">
        <v>0</v>
      </c>
      <c r="H9" s="78"/>
      <c r="I9" s="71">
        <f t="shared" si="0"/>
        <v>0</v>
      </c>
      <c r="J9" s="12"/>
      <c r="K9" s="89">
        <v>380000</v>
      </c>
      <c r="L9" s="79"/>
      <c r="M9" s="80">
        <v>409299670616</v>
      </c>
      <c r="N9" s="80"/>
      <c r="O9" s="80">
        <v>-409377670616</v>
      </c>
      <c r="P9" s="208"/>
      <c r="Q9" s="71">
        <f t="shared" si="1"/>
        <v>-78000000</v>
      </c>
      <c r="R9" s="162" t="s">
        <v>291</v>
      </c>
      <c r="S9" s="162">
        <v>32000</v>
      </c>
      <c r="T9" s="162">
        <v>22776670980</v>
      </c>
      <c r="U9" s="162">
        <v>3006759337</v>
      </c>
      <c r="V9" s="162">
        <f>T9-U9</f>
        <v>19769911643</v>
      </c>
      <c r="X9" s="7">
        <v>-78000000</v>
      </c>
      <c r="Y9" s="162">
        <f t="shared" si="2"/>
        <v>0</v>
      </c>
    </row>
    <row r="10" spans="1:25" ht="21.75">
      <c r="A10" s="270" t="s">
        <v>104</v>
      </c>
      <c r="B10" s="190"/>
      <c r="C10" s="189">
        <v>0</v>
      </c>
      <c r="D10" s="257"/>
      <c r="E10" s="189">
        <f>IFERROR(VLOOKUP(A10,اوراق!$A$9:$AG$13,23,0),0)</f>
        <v>0</v>
      </c>
      <c r="F10" s="71"/>
      <c r="G10" s="80">
        <v>0</v>
      </c>
      <c r="H10" s="78"/>
      <c r="I10" s="71">
        <f t="shared" si="0"/>
        <v>0</v>
      </c>
      <c r="J10" s="12"/>
      <c r="K10" s="89">
        <v>155000</v>
      </c>
      <c r="L10" s="79"/>
      <c r="M10" s="80">
        <v>150667537709</v>
      </c>
      <c r="N10" s="80"/>
      <c r="O10" s="80">
        <v>-146791460053</v>
      </c>
      <c r="P10" s="208"/>
      <c r="Q10" s="71">
        <f t="shared" si="1"/>
        <v>3876077656</v>
      </c>
      <c r="R10" s="162" t="s">
        <v>292</v>
      </c>
      <c r="S10" s="162">
        <v>482800</v>
      </c>
      <c r="T10" s="162">
        <v>342075921791</v>
      </c>
      <c r="U10" s="162">
        <v>26923583029</v>
      </c>
      <c r="V10" s="162">
        <f t="shared" ref="V10:V15" si="3">T10-U10</f>
        <v>315152338762</v>
      </c>
      <c r="X10" s="7">
        <v>3876077656</v>
      </c>
      <c r="Y10" s="162">
        <f t="shared" si="2"/>
        <v>0</v>
      </c>
    </row>
    <row r="11" spans="1:25" ht="21.75">
      <c r="A11" s="270" t="s">
        <v>118</v>
      </c>
      <c r="B11" s="190"/>
      <c r="C11" s="189">
        <v>0</v>
      </c>
      <c r="D11" s="257"/>
      <c r="E11" s="189">
        <f>IFERROR(VLOOKUP(A11,اوراق!$A$9:$AG$13,23,0),0)</f>
        <v>0</v>
      </c>
      <c r="F11" s="71"/>
      <c r="G11" s="80">
        <v>0</v>
      </c>
      <c r="H11" s="78"/>
      <c r="I11" s="71">
        <f t="shared" si="0"/>
        <v>0</v>
      </c>
      <c r="J11" s="12"/>
      <c r="K11" s="89">
        <v>723000</v>
      </c>
      <c r="L11" s="79"/>
      <c r="M11" s="80">
        <v>771577949994</v>
      </c>
      <c r="N11" s="80"/>
      <c r="O11" s="80">
        <v>-751741083705</v>
      </c>
      <c r="P11" s="208"/>
      <c r="Q11" s="71">
        <f t="shared" si="1"/>
        <v>19836866289</v>
      </c>
      <c r="R11" s="162" t="s">
        <v>293</v>
      </c>
      <c r="S11" s="162">
        <v>150000</v>
      </c>
      <c r="T11" s="162">
        <v>152303492193</v>
      </c>
      <c r="U11" s="162">
        <v>-1010445125</v>
      </c>
      <c r="V11" s="162">
        <f t="shared" si="3"/>
        <v>153313937318</v>
      </c>
      <c r="X11" s="7">
        <v>19836866289</v>
      </c>
      <c r="Y11" s="162">
        <f t="shared" si="2"/>
        <v>0</v>
      </c>
    </row>
    <row r="12" spans="1:25" ht="21.75">
      <c r="A12" s="270" t="s">
        <v>196</v>
      </c>
      <c r="B12" s="190"/>
      <c r="C12" s="189">
        <v>0</v>
      </c>
      <c r="D12" s="257"/>
      <c r="E12" s="189">
        <f>IFERROR(VLOOKUP(A12,اوراق!$A$9:$AG$13,23,0),0)</f>
        <v>0</v>
      </c>
      <c r="F12" s="71"/>
      <c r="G12" s="80">
        <v>0</v>
      </c>
      <c r="H12" s="78"/>
      <c r="I12" s="71">
        <f t="shared" si="0"/>
        <v>0</v>
      </c>
      <c r="J12" s="12"/>
      <c r="K12" s="89">
        <v>480000</v>
      </c>
      <c r="L12" s="79"/>
      <c r="M12" s="80">
        <v>485102916509</v>
      </c>
      <c r="N12" s="80"/>
      <c r="O12" s="80">
        <v>-485159416509</v>
      </c>
      <c r="P12" s="208"/>
      <c r="Q12" s="71">
        <f t="shared" si="1"/>
        <v>-56500000</v>
      </c>
      <c r="R12" s="162" t="s">
        <v>294</v>
      </c>
      <c r="S12" s="162">
        <v>198700</v>
      </c>
      <c r="T12" s="162">
        <v>192395802792</v>
      </c>
      <c r="U12" s="162">
        <v>-123385340</v>
      </c>
      <c r="V12" s="162">
        <f t="shared" si="3"/>
        <v>192519188132</v>
      </c>
      <c r="X12" s="7">
        <v>-56500000</v>
      </c>
      <c r="Y12" s="162">
        <f t="shared" si="2"/>
        <v>0</v>
      </c>
    </row>
    <row r="13" spans="1:25" ht="21.75">
      <c r="A13" s="270" t="s">
        <v>162</v>
      </c>
      <c r="B13" s="190"/>
      <c r="C13" s="189">
        <v>194390</v>
      </c>
      <c r="D13" s="257"/>
      <c r="E13" s="189">
        <f>IFERROR(VLOOKUP(A13,اوراق!$A$9:$AG$13,23,0),0)</f>
        <v>186699049246</v>
      </c>
      <c r="F13" s="71"/>
      <c r="G13" s="80">
        <v>-158591776185</v>
      </c>
      <c r="H13" s="78"/>
      <c r="I13" s="71">
        <f t="shared" si="0"/>
        <v>28107273061</v>
      </c>
      <c r="J13" s="12"/>
      <c r="K13" s="89">
        <v>327000</v>
      </c>
      <c r="L13" s="79"/>
      <c r="M13" s="80">
        <v>306705357854</v>
      </c>
      <c r="N13" s="80"/>
      <c r="O13" s="80">
        <v>-266780754218</v>
      </c>
      <c r="P13" s="208"/>
      <c r="Q13" s="71">
        <f t="shared" si="1"/>
        <v>39924603636</v>
      </c>
      <c r="R13" s="162" t="s">
        <v>295</v>
      </c>
      <c r="S13" s="162">
        <v>155000</v>
      </c>
      <c r="T13" s="162">
        <v>150667537709</v>
      </c>
      <c r="U13" s="162">
        <v>3876077656</v>
      </c>
      <c r="V13" s="162">
        <f t="shared" si="3"/>
        <v>146791460053</v>
      </c>
      <c r="X13" s="7">
        <v>11817330575</v>
      </c>
      <c r="Y13" s="162">
        <f t="shared" si="2"/>
        <v>-28107273061</v>
      </c>
    </row>
    <row r="14" spans="1:25" ht="21.75">
      <c r="A14" s="270" t="s">
        <v>163</v>
      </c>
      <c r="B14" s="190"/>
      <c r="C14" s="189">
        <v>0</v>
      </c>
      <c r="D14" s="257"/>
      <c r="E14" s="189">
        <f>IFERROR(VLOOKUP(A14,اوراق!$A$9:$AG$13,23,0),0)</f>
        <v>0</v>
      </c>
      <c r="F14" s="71"/>
      <c r="G14" s="80">
        <v>0</v>
      </c>
      <c r="H14" s="78"/>
      <c r="I14" s="71">
        <f t="shared" si="0"/>
        <v>0</v>
      </c>
      <c r="J14" s="12"/>
      <c r="K14" s="89">
        <v>482800</v>
      </c>
      <c r="L14" s="79"/>
      <c r="M14" s="80">
        <v>342075921791</v>
      </c>
      <c r="N14" s="80"/>
      <c r="O14" s="80">
        <v>-315152338762</v>
      </c>
      <c r="P14" s="208"/>
      <c r="Q14" s="71">
        <f t="shared" si="1"/>
        <v>26923583029</v>
      </c>
      <c r="R14" s="162" t="s">
        <v>296</v>
      </c>
      <c r="S14" s="162">
        <v>723000</v>
      </c>
      <c r="T14" s="162">
        <v>771577949994</v>
      </c>
      <c r="U14" s="162">
        <v>19836866289</v>
      </c>
      <c r="V14" s="162">
        <f t="shared" si="3"/>
        <v>751741083705</v>
      </c>
      <c r="X14" s="7">
        <v>26923583025</v>
      </c>
      <c r="Y14" s="162">
        <f t="shared" si="2"/>
        <v>-4</v>
      </c>
    </row>
    <row r="15" spans="1:25" ht="21.75">
      <c r="A15" s="270" t="s">
        <v>138</v>
      </c>
      <c r="B15" s="190"/>
      <c r="C15" s="189">
        <v>0</v>
      </c>
      <c r="D15" s="257"/>
      <c r="E15" s="189">
        <f>IFERROR(VLOOKUP(A15,اوراق!$A$9:$AG$13,23,0),0)</f>
        <v>0</v>
      </c>
      <c r="F15" s="71"/>
      <c r="G15" s="189">
        <v>0</v>
      </c>
      <c r="H15" s="78"/>
      <c r="I15" s="71">
        <f t="shared" si="0"/>
        <v>0</v>
      </c>
      <c r="J15" s="12"/>
      <c r="K15" s="89">
        <v>32000</v>
      </c>
      <c r="L15" s="79"/>
      <c r="M15" s="80">
        <v>22776670980</v>
      </c>
      <c r="N15" s="80"/>
      <c r="O15" s="80">
        <v>-19769911643</v>
      </c>
      <c r="P15" s="208"/>
      <c r="Q15" s="71">
        <f t="shared" si="1"/>
        <v>3006759337</v>
      </c>
      <c r="R15" s="162" t="s">
        <v>297</v>
      </c>
      <c r="S15" s="162">
        <v>480000</v>
      </c>
      <c r="T15" s="162">
        <v>485102916509</v>
      </c>
      <c r="U15" s="162">
        <v>-56500000</v>
      </c>
      <c r="V15" s="162">
        <f t="shared" si="3"/>
        <v>485159416509</v>
      </c>
      <c r="X15" s="7">
        <v>3006759337</v>
      </c>
      <c r="Y15" s="162">
        <f t="shared" si="2"/>
        <v>0</v>
      </c>
    </row>
    <row r="16" spans="1:25" ht="23.25" thickBot="1">
      <c r="C16" s="397"/>
      <c r="D16" s="393"/>
      <c r="E16" s="282">
        <f>SUM(E7:E15)</f>
        <v>186699049246</v>
      </c>
      <c r="F16" s="393"/>
      <c r="G16" s="282">
        <f>SUM(G7:G15)</f>
        <v>-158591776185</v>
      </c>
      <c r="H16" s="393"/>
      <c r="I16" s="282">
        <f>SUM(I7:I15)</f>
        <v>28107273061</v>
      </c>
      <c r="J16" s="393"/>
      <c r="K16" s="398"/>
      <c r="L16" s="393"/>
      <c r="M16" s="269">
        <f>SUM(M7:M15)</f>
        <v>2832905320438</v>
      </c>
      <c r="N16" s="393"/>
      <c r="O16" s="269">
        <f>SUM(O7:O15)</f>
        <v>-2740605760956</v>
      </c>
      <c r="P16" s="393"/>
      <c r="Q16" s="282">
        <f>SUM(Q7:Q15)</f>
        <v>92299559482</v>
      </c>
      <c r="R16" s="162" t="s">
        <v>298</v>
      </c>
      <c r="S16" s="162">
        <v>380000</v>
      </c>
      <c r="T16" s="162">
        <v>409299670616</v>
      </c>
      <c r="U16" s="7">
        <v>-78000000</v>
      </c>
      <c r="V16" s="162">
        <f>T16-U16</f>
        <v>409377670616</v>
      </c>
    </row>
    <row r="17" spans="1:22" ht="20.25" customHeight="1" thickTop="1">
      <c r="A17" s="108"/>
      <c r="B17" s="108"/>
      <c r="C17" s="399"/>
      <c r="D17" s="399"/>
      <c r="E17" s="72"/>
      <c r="F17" s="72"/>
      <c r="G17" s="72"/>
      <c r="H17" s="72"/>
      <c r="I17" s="12"/>
      <c r="J17" s="12"/>
      <c r="K17" s="12"/>
      <c r="L17" s="12"/>
      <c r="M17" s="12"/>
      <c r="N17" s="12"/>
      <c r="O17" s="12"/>
      <c r="P17" s="12"/>
      <c r="Q17" s="12"/>
      <c r="R17" s="162"/>
      <c r="S17" s="162">
        <f>SUM(S8:S16)</f>
        <v>2734110</v>
      </c>
      <c r="T17" s="162">
        <f>SUM(T8:T16)</f>
        <v>2646206271192</v>
      </c>
      <c r="U17" s="162">
        <f>SUM(U8:U16)</f>
        <v>64192286421</v>
      </c>
      <c r="V17" s="162">
        <f>SUM(V8:V16)</f>
        <v>2582013984771</v>
      </c>
    </row>
    <row r="18" spans="1:22" ht="21.75">
      <c r="A18" s="373" t="s">
        <v>41</v>
      </c>
      <c r="B18" s="374"/>
      <c r="C18" s="374"/>
      <c r="D18" s="374"/>
      <c r="E18" s="374"/>
      <c r="F18" s="374"/>
      <c r="G18" s="374"/>
      <c r="H18" s="374"/>
      <c r="I18" s="374"/>
      <c r="J18" s="374"/>
      <c r="K18" s="374"/>
      <c r="L18" s="374"/>
      <c r="M18" s="374"/>
      <c r="N18" s="374"/>
      <c r="O18" s="374"/>
      <c r="P18" s="374"/>
      <c r="Q18" s="375"/>
      <c r="R18" s="162"/>
    </row>
  </sheetData>
  <autoFilter ref="A6:Q6" xr:uid="{00000000-0009-0000-0000-000008000000}">
    <sortState xmlns:xlrd2="http://schemas.microsoft.com/office/spreadsheetml/2017/richdata2" ref="A7:Q39">
      <sortCondition descending="1" ref="Q6"/>
    </sortState>
  </autoFilter>
  <mergeCells count="8">
    <mergeCell ref="A1:Q1"/>
    <mergeCell ref="A2:Q2"/>
    <mergeCell ref="A3:Q3"/>
    <mergeCell ref="A18:Q18"/>
    <mergeCell ref="C5:I5"/>
    <mergeCell ref="K5:Q5"/>
    <mergeCell ref="A4:I4"/>
    <mergeCell ref="J4:Q4"/>
  </mergeCells>
  <printOptions horizontalCentered="1"/>
  <pageMargins left="0.25" right="0.25" top="0.75" bottom="0.75" header="0.3" footer="0.3"/>
  <pageSetup paperSize="9" scale="67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theme="4" tint="0.79998168889431442"/>
    <pageSetUpPr fitToPage="1"/>
  </sheetPr>
  <dimension ref="A1:Q14"/>
  <sheetViews>
    <sheetView rightToLeft="1" view="pageBreakPreview" topLeftCell="B1" zoomScale="90" zoomScaleNormal="100" zoomScaleSheetLayoutView="90" workbookViewId="0">
      <selection activeCell="R1" sqref="R1:U1048576"/>
    </sheetView>
  </sheetViews>
  <sheetFormatPr defaultColWidth="9.140625" defaultRowHeight="21.75"/>
  <cols>
    <col min="1" max="1" width="31.5703125" style="7" customWidth="1"/>
    <col min="2" max="2" width="0.5703125" style="7" customWidth="1"/>
    <col min="3" max="3" width="12.7109375" style="12" customWidth="1"/>
    <col min="4" max="4" width="0.85546875" style="12" customWidth="1"/>
    <col min="5" max="5" width="22" style="12" customWidth="1"/>
    <col min="6" max="6" width="0.85546875" style="12" customWidth="1"/>
    <col min="7" max="7" width="26.42578125" style="12" customWidth="1"/>
    <col min="8" max="8" width="0.7109375" style="12" customWidth="1"/>
    <col min="9" max="9" width="26.28515625" style="12" customWidth="1"/>
    <col min="10" max="10" width="1.42578125" style="12" customWidth="1"/>
    <col min="11" max="11" width="11.85546875" style="12" customWidth="1"/>
    <col min="12" max="12" width="1.140625" style="12" customWidth="1"/>
    <col min="13" max="13" width="26.140625" style="12" customWidth="1"/>
    <col min="14" max="14" width="1" style="12" customWidth="1"/>
    <col min="15" max="15" width="24.28515625" style="12" customWidth="1"/>
    <col min="16" max="16" width="1.140625" style="12" customWidth="1"/>
    <col min="17" max="17" width="21.5703125" style="12" customWidth="1"/>
    <col min="18" max="16384" width="9.140625" style="7"/>
  </cols>
  <sheetData>
    <row r="1" spans="1:17" ht="22.5">
      <c r="A1" s="351" t="s">
        <v>84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</row>
    <row r="2" spans="1:17" ht="22.5">
      <c r="A2" s="351" t="s">
        <v>53</v>
      </c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51"/>
      <c r="Q2" s="351"/>
    </row>
    <row r="3" spans="1:17" ht="22.5">
      <c r="A3" s="351" t="str">
        <f>' سهام'!A3:W3</f>
        <v>برای ماه منتهی به 1403/07/30</v>
      </c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1"/>
    </row>
    <row r="4" spans="1:17">
      <c r="A4" s="323" t="s">
        <v>59</v>
      </c>
      <c r="B4" s="323"/>
      <c r="C4" s="323"/>
      <c r="D4" s="323"/>
      <c r="E4" s="323"/>
      <c r="F4" s="323"/>
      <c r="G4" s="323"/>
      <c r="H4" s="323"/>
    </row>
    <row r="5" spans="1:17" s="172" customFormat="1" ht="16.5" customHeight="1" thickBot="1">
      <c r="A5" s="149"/>
      <c r="B5" s="149"/>
      <c r="C5" s="382" t="s">
        <v>301</v>
      </c>
      <c r="D5" s="382"/>
      <c r="E5" s="382"/>
      <c r="F5" s="382"/>
      <c r="G5" s="382"/>
      <c r="H5" s="382"/>
      <c r="I5" s="382"/>
      <c r="J5" s="79"/>
      <c r="K5" s="377" t="s">
        <v>302</v>
      </c>
      <c r="L5" s="377"/>
      <c r="M5" s="377"/>
      <c r="N5" s="377"/>
      <c r="O5" s="377"/>
      <c r="P5" s="377"/>
      <c r="Q5" s="377"/>
    </row>
    <row r="6" spans="1:17" s="172" customFormat="1" ht="27" customHeight="1" thickBot="1">
      <c r="A6" s="149" t="s">
        <v>35</v>
      </c>
      <c r="B6" s="149"/>
      <c r="C6" s="86" t="s">
        <v>3</v>
      </c>
      <c r="D6" s="79"/>
      <c r="E6" s="87" t="s">
        <v>19</v>
      </c>
      <c r="F6" s="79"/>
      <c r="G6" s="86" t="s">
        <v>39</v>
      </c>
      <c r="H6" s="79"/>
      <c r="I6" s="87" t="s">
        <v>40</v>
      </c>
      <c r="J6" s="79"/>
      <c r="K6" s="86" t="s">
        <v>3</v>
      </c>
      <c r="L6" s="79"/>
      <c r="M6" s="87" t="s">
        <v>19</v>
      </c>
      <c r="N6" s="79"/>
      <c r="O6" s="87" t="s">
        <v>39</v>
      </c>
      <c r="P6" s="79"/>
      <c r="Q6" s="210" t="s">
        <v>40</v>
      </c>
    </row>
    <row r="7" spans="1:17" s="172" customFormat="1" ht="27" customHeight="1">
      <c r="A7" s="149" t="s">
        <v>104</v>
      </c>
      <c r="B7" s="149"/>
      <c r="C7" s="89">
        <v>345000</v>
      </c>
      <c r="D7" s="79"/>
      <c r="E7" s="104">
        <v>333618345715</v>
      </c>
      <c r="F7" s="79"/>
      <c r="G7" s="207">
        <v>-334483793824</v>
      </c>
      <c r="H7" s="79"/>
      <c r="I7" s="80">
        <f>E7+G7</f>
        <v>-865448109</v>
      </c>
      <c r="J7" s="79"/>
      <c r="K7" s="89">
        <v>345000</v>
      </c>
      <c r="L7" s="104"/>
      <c r="M7" s="90">
        <v>333618345715</v>
      </c>
      <c r="N7" s="90"/>
      <c r="O7" s="207">
        <v>-319757033531</v>
      </c>
      <c r="P7" s="104"/>
      <c r="Q7" s="207">
        <f>M7+O7</f>
        <v>13861312184</v>
      </c>
    </row>
    <row r="8" spans="1:17" s="172" customFormat="1" ht="27" customHeight="1">
      <c r="A8" s="149" t="s">
        <v>162</v>
      </c>
      <c r="B8" s="149"/>
      <c r="C8" s="89">
        <v>0</v>
      </c>
      <c r="D8" s="79"/>
      <c r="E8" s="104">
        <v>0</v>
      </c>
      <c r="F8" s="79"/>
      <c r="G8" s="207">
        <v>-25403881559</v>
      </c>
      <c r="H8" s="79"/>
      <c r="I8" s="80">
        <f t="shared" ref="I8:I11" si="0">E8+G8</f>
        <v>-25403881559</v>
      </c>
      <c r="J8" s="79"/>
      <c r="K8" s="80">
        <v>0</v>
      </c>
      <c r="L8" s="80"/>
      <c r="M8" s="80">
        <v>0</v>
      </c>
      <c r="N8" s="90"/>
      <c r="O8" s="207">
        <v>0</v>
      </c>
      <c r="P8" s="104"/>
      <c r="Q8" s="207">
        <f t="shared" ref="Q8:Q11" si="1">M8+O8</f>
        <v>0</v>
      </c>
    </row>
    <row r="9" spans="1:17" s="172" customFormat="1" ht="27" customHeight="1">
      <c r="A9" s="149" t="s">
        <v>195</v>
      </c>
      <c r="B9" s="149"/>
      <c r="C9" s="89">
        <v>33574</v>
      </c>
      <c r="D9" s="79"/>
      <c r="E9" s="104">
        <v>27812628601</v>
      </c>
      <c r="F9" s="79"/>
      <c r="G9" s="207">
        <v>-27540795628</v>
      </c>
      <c r="H9" s="79"/>
      <c r="I9" s="80">
        <f t="shared" si="0"/>
        <v>271832973</v>
      </c>
      <c r="J9" s="79"/>
      <c r="K9" s="89">
        <v>33574</v>
      </c>
      <c r="L9" s="104"/>
      <c r="M9" s="90">
        <v>27812628601</v>
      </c>
      <c r="N9" s="90"/>
      <c r="O9" s="207">
        <v>-24736934728</v>
      </c>
      <c r="P9" s="104"/>
      <c r="Q9" s="207">
        <f t="shared" si="1"/>
        <v>3075693873</v>
      </c>
    </row>
    <row r="10" spans="1:17" s="172" customFormat="1" ht="27" customHeight="1">
      <c r="A10" s="149" t="s">
        <v>125</v>
      </c>
      <c r="B10" s="149"/>
      <c r="C10" s="89">
        <v>355000</v>
      </c>
      <c r="D10" s="79"/>
      <c r="E10" s="104">
        <v>348468018725</v>
      </c>
      <c r="F10" s="79"/>
      <c r="G10" s="207">
        <v>-348316106262</v>
      </c>
      <c r="H10" s="79"/>
      <c r="I10" s="80">
        <f t="shared" si="0"/>
        <v>151912463</v>
      </c>
      <c r="J10" s="79"/>
      <c r="K10" s="89">
        <v>355000</v>
      </c>
      <c r="L10" s="104"/>
      <c r="M10" s="90">
        <v>348468018725</v>
      </c>
      <c r="N10" s="90"/>
      <c r="O10" s="207">
        <v>-347411020338</v>
      </c>
      <c r="P10" s="104"/>
      <c r="Q10" s="207">
        <f t="shared" si="1"/>
        <v>1056998387</v>
      </c>
    </row>
    <row r="11" spans="1:17" s="172" customFormat="1" ht="27" customHeight="1">
      <c r="A11" s="149" t="s">
        <v>196</v>
      </c>
      <c r="B11" s="149"/>
      <c r="C11" s="89">
        <v>520000</v>
      </c>
      <c r="D11" s="79"/>
      <c r="E11" s="104">
        <v>519905750000</v>
      </c>
      <c r="F11" s="79"/>
      <c r="G11" s="207">
        <v>-519905750000</v>
      </c>
      <c r="H11" s="79"/>
      <c r="I11" s="80">
        <f t="shared" si="0"/>
        <v>0</v>
      </c>
      <c r="J11" s="79"/>
      <c r="K11" s="89">
        <v>520000</v>
      </c>
      <c r="L11" s="104"/>
      <c r="M11" s="90">
        <v>519905750000</v>
      </c>
      <c r="N11" s="90"/>
      <c r="O11" s="207">
        <v>-520000000000</v>
      </c>
      <c r="P11" s="104"/>
      <c r="Q11" s="207">
        <f t="shared" si="1"/>
        <v>-94250000</v>
      </c>
    </row>
    <row r="12" spans="1:17" s="172" customFormat="1" ht="23.25" thickBot="1">
      <c r="A12" s="258" t="s">
        <v>2</v>
      </c>
      <c r="B12" s="149"/>
      <c r="C12" s="400"/>
      <c r="D12" s="401"/>
      <c r="E12" s="402">
        <f>SUM(E7:E11)</f>
        <v>1229804743041</v>
      </c>
      <c r="F12" s="106"/>
      <c r="G12" s="268">
        <f>SUM(G7:G11)</f>
        <v>-1255650327273</v>
      </c>
      <c r="H12" s="106"/>
      <c r="I12" s="268">
        <f>SUM(I7:I11)</f>
        <v>-25845584232</v>
      </c>
      <c r="J12" s="106"/>
      <c r="K12" s="400"/>
      <c r="L12" s="106"/>
      <c r="M12" s="268">
        <f>SUM(M7:M11)</f>
        <v>1229804743041</v>
      </c>
      <c r="N12" s="106"/>
      <c r="O12" s="402">
        <f>SUM(O7:O11)</f>
        <v>-1211904988597</v>
      </c>
      <c r="P12" s="106"/>
      <c r="Q12" s="268">
        <f>SUM(Q7:Q11)</f>
        <v>17899754444</v>
      </c>
    </row>
    <row r="13" spans="1:17" s="172" customFormat="1" ht="22.5" thickTop="1">
      <c r="A13" s="149"/>
      <c r="B13" s="14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</row>
    <row r="14" spans="1:17" s="172" customFormat="1" ht="24.75" customHeight="1">
      <c r="A14" s="379" t="s">
        <v>41</v>
      </c>
      <c r="B14" s="380"/>
      <c r="C14" s="380"/>
      <c r="D14" s="380"/>
      <c r="E14" s="380"/>
      <c r="F14" s="380"/>
      <c r="G14" s="380"/>
      <c r="H14" s="380"/>
      <c r="I14" s="380"/>
      <c r="J14" s="380"/>
      <c r="K14" s="380"/>
      <c r="L14" s="380"/>
      <c r="M14" s="380"/>
      <c r="N14" s="380"/>
      <c r="O14" s="380"/>
      <c r="P14" s="380"/>
      <c r="Q14" s="381"/>
    </row>
  </sheetData>
  <autoFilter ref="A6:Q6" xr:uid="{00000000-0009-0000-0000-000009000000}">
    <sortState xmlns:xlrd2="http://schemas.microsoft.com/office/spreadsheetml/2017/richdata2" ref="A7:Q23">
      <sortCondition descending="1" ref="Q6"/>
    </sortState>
  </autoFilter>
  <mergeCells count="7">
    <mergeCell ref="A14:Q14"/>
    <mergeCell ref="C5:I5"/>
    <mergeCell ref="K5:Q5"/>
    <mergeCell ref="A4:H4"/>
    <mergeCell ref="A1:Q1"/>
    <mergeCell ref="A2:Q2"/>
    <mergeCell ref="A3:Q3"/>
  </mergeCells>
  <printOptions horizontalCentered="1"/>
  <pageMargins left="0.25" right="0.25" top="0.75" bottom="0.75" header="0.3" footer="0.3"/>
  <pageSetup paperSize="9"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8" tint="0.79998168889431442"/>
    <pageSetUpPr fitToPage="1"/>
  </sheetPr>
  <dimension ref="A1:W16"/>
  <sheetViews>
    <sheetView rightToLeft="1" view="pageBreakPreview" zoomScale="55" zoomScaleNormal="100" zoomScaleSheetLayoutView="55" workbookViewId="0">
      <selection activeCell="S14" sqref="S14"/>
    </sheetView>
  </sheetViews>
  <sheetFormatPr defaultColWidth="9.140625" defaultRowHeight="30.75"/>
  <cols>
    <col min="1" max="1" width="36.7109375" style="20" customWidth="1"/>
    <col min="2" max="2" width="1.85546875" style="20" customWidth="1"/>
    <col min="3" max="3" width="22.5703125" style="24" bestFit="1" customWidth="1"/>
    <col min="4" max="4" width="1.140625" style="24" customWidth="1"/>
    <col min="5" max="5" width="32" style="24" bestFit="1" customWidth="1"/>
    <col min="6" max="6" width="1.42578125" style="24" customWidth="1"/>
    <col min="7" max="7" width="32.140625" style="24" customWidth="1"/>
    <col min="8" max="8" width="1.5703125" style="24" customWidth="1"/>
    <col min="9" max="9" width="20.5703125" style="24" bestFit="1" customWidth="1"/>
    <col min="10" max="10" width="29.140625" style="24" bestFit="1" customWidth="1"/>
    <col min="11" max="11" width="1.42578125" style="24" customWidth="1"/>
    <col min="12" max="12" width="20.7109375" style="24" customWidth="1"/>
    <col min="13" max="13" width="29.140625" style="24" customWidth="1"/>
    <col min="14" max="14" width="1.140625" style="24" customWidth="1"/>
    <col min="15" max="15" width="22.5703125" style="24" bestFit="1" customWidth="1"/>
    <col min="16" max="16" width="1.42578125" style="24" customWidth="1"/>
    <col min="17" max="17" width="18.7109375" style="24" customWidth="1"/>
    <col min="18" max="18" width="1.5703125" style="24" customWidth="1"/>
    <col min="19" max="19" width="32" style="24" bestFit="1" customWidth="1"/>
    <col min="20" max="20" width="1.85546875" style="24" customWidth="1"/>
    <col min="21" max="21" width="37.42578125" style="24" bestFit="1" customWidth="1"/>
    <col min="22" max="22" width="1.5703125" style="20" customWidth="1"/>
    <col min="23" max="23" width="21.85546875" style="31" customWidth="1"/>
    <col min="24" max="24" width="10.140625" style="20" bestFit="1" customWidth="1"/>
    <col min="25" max="16384" width="9.140625" style="20"/>
  </cols>
  <sheetData>
    <row r="1" spans="1:23" ht="31.5">
      <c r="A1" s="288" t="s">
        <v>84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</row>
    <row r="2" spans="1:23" ht="31.5">
      <c r="A2" s="288" t="s">
        <v>47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  <c r="W2" s="288"/>
    </row>
    <row r="3" spans="1:23" ht="31.5">
      <c r="A3" s="288" t="s">
        <v>315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</row>
    <row r="4" spans="1:23" ht="31.5">
      <c r="A4" s="297" t="s">
        <v>23</v>
      </c>
      <c r="B4" s="297"/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297"/>
      <c r="V4" s="297"/>
      <c r="W4" s="297"/>
    </row>
    <row r="5" spans="1:23" ht="31.5">
      <c r="A5" s="297" t="s">
        <v>24</v>
      </c>
      <c r="B5" s="297"/>
      <c r="C5" s="297"/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297"/>
      <c r="O5" s="297"/>
      <c r="P5" s="297"/>
      <c r="Q5" s="297"/>
      <c r="R5" s="297"/>
      <c r="S5" s="297"/>
      <c r="T5" s="297"/>
      <c r="U5" s="297"/>
      <c r="V5" s="297"/>
      <c r="W5" s="297"/>
    </row>
    <row r="7" spans="1:23" ht="36.75" customHeight="1" thickBot="1">
      <c r="A7" s="1"/>
      <c r="B7" s="2"/>
      <c r="C7" s="299" t="s">
        <v>270</v>
      </c>
      <c r="D7" s="299"/>
      <c r="E7" s="299"/>
      <c r="F7" s="299"/>
      <c r="G7" s="299"/>
      <c r="H7" s="3"/>
      <c r="I7" s="298" t="s">
        <v>7</v>
      </c>
      <c r="J7" s="298"/>
      <c r="K7" s="298"/>
      <c r="L7" s="298"/>
      <c r="M7" s="298"/>
      <c r="O7" s="300" t="s">
        <v>316</v>
      </c>
      <c r="P7" s="300"/>
      <c r="Q7" s="300"/>
      <c r="R7" s="300"/>
      <c r="S7" s="300"/>
      <c r="T7" s="300"/>
      <c r="U7" s="300"/>
      <c r="V7" s="300"/>
      <c r="W7" s="300"/>
    </row>
    <row r="8" spans="1:23" ht="29.25" customHeight="1">
      <c r="A8" s="289" t="s">
        <v>1</v>
      </c>
      <c r="B8" s="4"/>
      <c r="C8" s="295" t="s">
        <v>3</v>
      </c>
      <c r="D8" s="292"/>
      <c r="E8" s="295" t="s">
        <v>0</v>
      </c>
      <c r="F8" s="292"/>
      <c r="G8" s="301" t="s">
        <v>19</v>
      </c>
      <c r="H8" s="23"/>
      <c r="I8" s="291" t="s">
        <v>4</v>
      </c>
      <c r="J8" s="291"/>
      <c r="K8" s="25"/>
      <c r="L8" s="291" t="s">
        <v>5</v>
      </c>
      <c r="M8" s="291"/>
      <c r="O8" s="293" t="s">
        <v>3</v>
      </c>
      <c r="P8" s="292"/>
      <c r="Q8" s="301" t="s">
        <v>31</v>
      </c>
      <c r="R8" s="22"/>
      <c r="S8" s="293" t="s">
        <v>0</v>
      </c>
      <c r="T8" s="292"/>
      <c r="U8" s="301" t="s">
        <v>19</v>
      </c>
      <c r="V8" s="5"/>
      <c r="W8" s="303" t="s">
        <v>20</v>
      </c>
    </row>
    <row r="9" spans="1:23" ht="49.5" customHeight="1" thickBot="1">
      <c r="A9" s="290"/>
      <c r="B9" s="4"/>
      <c r="C9" s="294"/>
      <c r="D9" s="296"/>
      <c r="E9" s="294"/>
      <c r="F9" s="296"/>
      <c r="G9" s="302"/>
      <c r="H9" s="23"/>
      <c r="I9" s="26" t="s">
        <v>3</v>
      </c>
      <c r="J9" s="26" t="s">
        <v>0</v>
      </c>
      <c r="K9" s="25"/>
      <c r="L9" s="26" t="s">
        <v>3</v>
      </c>
      <c r="M9" s="26" t="s">
        <v>46</v>
      </c>
      <c r="O9" s="294"/>
      <c r="P9" s="292"/>
      <c r="Q9" s="302"/>
      <c r="R9" s="22"/>
      <c r="S9" s="294"/>
      <c r="T9" s="292"/>
      <c r="U9" s="302"/>
      <c r="V9" s="5"/>
      <c r="W9" s="304"/>
    </row>
    <row r="10" spans="1:23" ht="28.5" customHeight="1" thickBot="1">
      <c r="A10" s="63" t="s">
        <v>86</v>
      </c>
      <c r="C10" s="24">
        <v>0</v>
      </c>
      <c r="E10" s="24">
        <v>0</v>
      </c>
      <c r="G10" s="24">
        <v>0</v>
      </c>
      <c r="I10" s="24">
        <v>0</v>
      </c>
      <c r="J10" s="24">
        <v>0</v>
      </c>
      <c r="K10" s="6"/>
      <c r="L10" s="24">
        <v>0</v>
      </c>
      <c r="M10" s="24">
        <v>0</v>
      </c>
      <c r="O10" s="24">
        <v>0</v>
      </c>
      <c r="Q10" s="24">
        <v>0</v>
      </c>
      <c r="S10" s="24">
        <v>0</v>
      </c>
      <c r="U10" s="24">
        <v>0</v>
      </c>
      <c r="V10" s="6"/>
      <c r="W10" s="52">
        <f>U10/درآمدها!$J$5</f>
        <v>0</v>
      </c>
    </row>
    <row r="11" spans="1:23" ht="42" customHeight="1" thickBot="1">
      <c r="A11" s="20" t="s">
        <v>2</v>
      </c>
      <c r="B11" s="4"/>
      <c r="D11" s="27">
        <f>SUM(D10:D10)</f>
        <v>0</v>
      </c>
      <c r="E11" s="27">
        <f>SUM(E10:E10)</f>
        <v>0</v>
      </c>
      <c r="G11" s="27">
        <f>SUM(G10:G10)</f>
        <v>0</v>
      </c>
      <c r="J11" s="27">
        <f>SUM(J10:J10)</f>
        <v>0</v>
      </c>
      <c r="M11" s="27">
        <f>SUM(M10:M10)</f>
        <v>0</v>
      </c>
      <c r="S11" s="27">
        <f>SUM(S10:S10)</f>
        <v>0</v>
      </c>
      <c r="U11" s="28">
        <f>SUM(U10:U10)</f>
        <v>0</v>
      </c>
      <c r="W11" s="29">
        <f>SUM(W10:W10)</f>
        <v>0</v>
      </c>
    </row>
    <row r="12" spans="1:23" ht="31.5" thickTop="1">
      <c r="U12" s="30"/>
    </row>
    <row r="14" spans="1:23">
      <c r="E14" s="60"/>
      <c r="G14" s="60"/>
      <c r="S14" s="60"/>
      <c r="U14" s="60"/>
    </row>
    <row r="15" spans="1:23">
      <c r="G15" s="24" t="s">
        <v>55</v>
      </c>
    </row>
    <row r="16" spans="1:23">
      <c r="E16" s="60"/>
      <c r="G16" s="60"/>
      <c r="S16" s="60"/>
      <c r="U16" s="60"/>
    </row>
  </sheetData>
  <autoFilter ref="A9:W9" xr:uid="{00000000-0009-0000-0000-000001000000}">
    <sortState xmlns:xlrd2="http://schemas.microsoft.com/office/spreadsheetml/2017/richdata2" ref="A11:W37">
      <sortCondition descending="1" ref="U9"/>
    </sortState>
  </autoFilter>
  <mergeCells count="23">
    <mergeCell ref="C7:G7"/>
    <mergeCell ref="O7:W7"/>
    <mergeCell ref="F8:F9"/>
    <mergeCell ref="G8:G9"/>
    <mergeCell ref="U8:U9"/>
    <mergeCell ref="Q8:Q9"/>
    <mergeCell ref="W8:W9"/>
    <mergeCell ref="A1:W1"/>
    <mergeCell ref="A2:W2"/>
    <mergeCell ref="A3:W3"/>
    <mergeCell ref="A8:A9"/>
    <mergeCell ref="I8:J8"/>
    <mergeCell ref="L8:M8"/>
    <mergeCell ref="P8:P9"/>
    <mergeCell ref="T8:T9"/>
    <mergeCell ref="S8:S9"/>
    <mergeCell ref="O8:O9"/>
    <mergeCell ref="E8:E9"/>
    <mergeCell ref="C8:C9"/>
    <mergeCell ref="D8:D9"/>
    <mergeCell ref="A5:W5"/>
    <mergeCell ref="A4:W4"/>
    <mergeCell ref="I7:M7"/>
  </mergeCells>
  <printOptions horizontalCentered="1"/>
  <pageMargins left="0" right="0" top="0.74803149606299202" bottom="0.74803149606299202" header="0.31496062992126" footer="0.31496062992126"/>
  <pageSetup paperSize="9" scale="3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4" tint="0.79998168889431442"/>
    <pageSetUpPr fitToPage="1"/>
  </sheetPr>
  <dimension ref="A1:AH23"/>
  <sheetViews>
    <sheetView rightToLeft="1" view="pageBreakPreview" topLeftCell="F1" zoomScale="60" zoomScaleNormal="50" workbookViewId="0">
      <selection activeCell="M21" sqref="M21"/>
    </sheetView>
  </sheetViews>
  <sheetFormatPr defaultColWidth="9.140625" defaultRowHeight="15.75"/>
  <cols>
    <col min="1" max="1" width="50" style="109" customWidth="1"/>
    <col min="2" max="2" width="0.5703125" style="109" customWidth="1"/>
    <col min="3" max="3" width="12.5703125" style="109" customWidth="1"/>
    <col min="4" max="4" width="0.5703125" style="109" customWidth="1"/>
    <col min="5" max="5" width="19.85546875" style="109" customWidth="1"/>
    <col min="6" max="6" width="0.5703125" style="109" customWidth="1"/>
    <col min="7" max="7" width="19.7109375" style="109" customWidth="1"/>
    <col min="8" max="8" width="0.5703125" style="109" customWidth="1"/>
    <col min="9" max="9" width="19.7109375" style="109" customWidth="1"/>
    <col min="10" max="10" width="0.42578125" style="109" customWidth="1"/>
    <col min="11" max="11" width="17" style="109" customWidth="1"/>
    <col min="12" max="12" width="0.7109375" style="109" customWidth="1"/>
    <col min="13" max="13" width="15.85546875" style="109" customWidth="1"/>
    <col min="14" max="14" width="1.140625" style="109" customWidth="1"/>
    <col min="15" max="15" width="27.5703125" style="109" customWidth="1"/>
    <col min="16" max="16" width="0.5703125" style="109" customWidth="1"/>
    <col min="17" max="17" width="28.5703125" style="109" customWidth="1"/>
    <col min="18" max="18" width="0.5703125" style="109" customWidth="1"/>
    <col min="19" max="19" width="17.28515625" style="109" customWidth="1"/>
    <col min="20" max="20" width="21.28515625" style="109" customWidth="1"/>
    <col min="21" max="21" width="0.5703125" style="109" customWidth="1"/>
    <col min="22" max="22" width="16.140625" style="109" customWidth="1"/>
    <col min="23" max="23" width="25" style="109" customWidth="1"/>
    <col min="24" max="24" width="0.5703125" style="109" customWidth="1"/>
    <col min="25" max="25" width="17" style="109" customWidth="1"/>
    <col min="26" max="26" width="0.42578125" style="109" customWidth="1"/>
    <col min="27" max="27" width="26.7109375" style="109" customWidth="1"/>
    <col min="28" max="28" width="0.7109375" style="109" customWidth="1"/>
    <col min="29" max="29" width="28.85546875" style="109" customWidth="1"/>
    <col min="30" max="30" width="0.7109375" style="109" hidden="1" customWidth="1"/>
    <col min="31" max="31" width="29.7109375" style="109" customWidth="1"/>
    <col min="32" max="32" width="0.7109375" style="109" hidden="1" customWidth="1"/>
    <col min="33" max="33" width="16.5703125" style="109" customWidth="1"/>
    <col min="34" max="34" width="19.28515625" style="109" customWidth="1"/>
    <col min="35" max="16384" width="9.140625" style="109"/>
  </cols>
  <sheetData>
    <row r="1" spans="1:34" s="108" customFormat="1" ht="24.75">
      <c r="A1" s="305" t="s">
        <v>84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305"/>
      <c r="W1" s="305"/>
      <c r="X1" s="305"/>
      <c r="Y1" s="305"/>
      <c r="Z1" s="305"/>
      <c r="AA1" s="305"/>
      <c r="AB1" s="305"/>
      <c r="AC1" s="305"/>
      <c r="AD1" s="305"/>
      <c r="AE1" s="305"/>
      <c r="AF1" s="305"/>
      <c r="AG1" s="305"/>
    </row>
    <row r="2" spans="1:34" s="108" customFormat="1" ht="24.75">
      <c r="A2" s="305" t="s">
        <v>47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  <c r="Y2" s="305"/>
      <c r="Z2" s="305"/>
      <c r="AA2" s="305"/>
      <c r="AB2" s="305"/>
      <c r="AC2" s="305"/>
      <c r="AD2" s="305"/>
      <c r="AE2" s="305"/>
      <c r="AF2" s="305"/>
      <c r="AG2" s="305"/>
    </row>
    <row r="3" spans="1:34" s="108" customFormat="1" ht="24.75">
      <c r="A3" s="305" t="str">
        <f>' سهام'!A3:W3</f>
        <v>برای ماه منتهی به 1403/07/30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5"/>
      <c r="AA3" s="305"/>
      <c r="AB3" s="305"/>
      <c r="AC3" s="305"/>
      <c r="AD3" s="305"/>
      <c r="AE3" s="305"/>
      <c r="AF3" s="305"/>
      <c r="AG3" s="305"/>
    </row>
    <row r="4" spans="1:34" ht="27.75">
      <c r="A4" s="306" t="s">
        <v>62</v>
      </c>
      <c r="B4" s="306"/>
      <c r="C4" s="306"/>
      <c r="D4" s="306"/>
      <c r="E4" s="306"/>
      <c r="F4" s="306"/>
      <c r="G4" s="306"/>
      <c r="H4" s="306"/>
      <c r="I4" s="306"/>
      <c r="J4" s="306"/>
      <c r="K4" s="306"/>
      <c r="L4" s="306"/>
      <c r="M4" s="306"/>
      <c r="N4" s="306"/>
      <c r="O4" s="306"/>
      <c r="P4" s="306"/>
      <c r="Q4" s="306"/>
      <c r="R4" s="306"/>
      <c r="S4" s="306"/>
      <c r="T4" s="306"/>
      <c r="U4" s="306"/>
      <c r="V4" s="306"/>
      <c r="W4" s="306"/>
      <c r="X4" s="306"/>
      <c r="Y4" s="306"/>
      <c r="Z4" s="306"/>
      <c r="AA4" s="306"/>
      <c r="AB4" s="306"/>
      <c r="AC4" s="306"/>
      <c r="AD4" s="306"/>
      <c r="AE4" s="306"/>
      <c r="AF4" s="306"/>
      <c r="AG4" s="306"/>
    </row>
    <row r="5" spans="1:34" ht="24.75">
      <c r="A5" s="110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261"/>
      <c r="AB5" s="110"/>
      <c r="AC5" s="110"/>
      <c r="AD5" s="110"/>
      <c r="AE5" s="110"/>
      <c r="AF5" s="110"/>
      <c r="AG5" s="110"/>
    </row>
    <row r="6" spans="1:34" ht="27.75" customHeight="1" thickBot="1">
      <c r="A6" s="307" t="s">
        <v>63</v>
      </c>
      <c r="B6" s="307"/>
      <c r="C6" s="307"/>
      <c r="D6" s="307"/>
      <c r="E6" s="307"/>
      <c r="F6" s="307"/>
      <c r="G6" s="307"/>
      <c r="H6" s="307"/>
      <c r="I6" s="307"/>
      <c r="J6" s="307"/>
      <c r="K6" s="307"/>
      <c r="L6" s="307"/>
      <c r="M6" s="307" t="s">
        <v>270</v>
      </c>
      <c r="N6" s="307"/>
      <c r="O6" s="307"/>
      <c r="P6" s="307"/>
      <c r="Q6" s="307"/>
      <c r="R6" s="111"/>
      <c r="S6" s="308" t="s">
        <v>7</v>
      </c>
      <c r="T6" s="308"/>
      <c r="U6" s="308"/>
      <c r="V6" s="308"/>
      <c r="W6" s="308"/>
      <c r="X6" s="110"/>
      <c r="Y6" s="307" t="s">
        <v>316</v>
      </c>
      <c r="Z6" s="307"/>
      <c r="AA6" s="307"/>
      <c r="AB6" s="307"/>
      <c r="AC6" s="307"/>
      <c r="AD6" s="307"/>
      <c r="AE6" s="307"/>
      <c r="AF6" s="307"/>
      <c r="AG6" s="307"/>
    </row>
    <row r="7" spans="1:34" ht="26.25" customHeight="1">
      <c r="A7" s="310" t="s">
        <v>64</v>
      </c>
      <c r="B7" s="112"/>
      <c r="C7" s="311" t="s">
        <v>65</v>
      </c>
      <c r="D7" s="112"/>
      <c r="E7" s="313" t="s">
        <v>70</v>
      </c>
      <c r="F7" s="112"/>
      <c r="G7" s="309" t="s">
        <v>66</v>
      </c>
      <c r="H7" s="112"/>
      <c r="I7" s="311" t="s">
        <v>21</v>
      </c>
      <c r="J7" s="112"/>
      <c r="K7" s="313" t="s">
        <v>67</v>
      </c>
      <c r="L7" s="113"/>
      <c r="M7" s="314" t="s">
        <v>3</v>
      </c>
      <c r="N7" s="309"/>
      <c r="O7" s="309" t="s">
        <v>0</v>
      </c>
      <c r="P7" s="309"/>
      <c r="Q7" s="309" t="s">
        <v>19</v>
      </c>
      <c r="R7" s="112"/>
      <c r="S7" s="316" t="s">
        <v>4</v>
      </c>
      <c r="T7" s="316"/>
      <c r="U7" s="110"/>
      <c r="V7" s="316" t="s">
        <v>5</v>
      </c>
      <c r="W7" s="316"/>
      <c r="X7" s="110"/>
      <c r="Y7" s="314" t="s">
        <v>3</v>
      </c>
      <c r="Z7" s="310"/>
      <c r="AA7" s="309" t="s">
        <v>68</v>
      </c>
      <c r="AB7" s="112"/>
      <c r="AC7" s="309" t="s">
        <v>0</v>
      </c>
      <c r="AD7" s="310"/>
      <c r="AE7" s="309" t="s">
        <v>19</v>
      </c>
      <c r="AF7" s="114"/>
      <c r="AG7" s="309" t="s">
        <v>20</v>
      </c>
      <c r="AH7" s="271"/>
    </row>
    <row r="8" spans="1:34" s="118" customFormat="1" ht="55.5" customHeight="1" thickBot="1">
      <c r="A8" s="307"/>
      <c r="B8" s="112"/>
      <c r="C8" s="312"/>
      <c r="D8" s="112"/>
      <c r="E8" s="312"/>
      <c r="F8" s="112"/>
      <c r="G8" s="307"/>
      <c r="H8" s="112"/>
      <c r="I8" s="312"/>
      <c r="J8" s="112"/>
      <c r="K8" s="312"/>
      <c r="L8" s="111"/>
      <c r="M8" s="315"/>
      <c r="N8" s="310"/>
      <c r="O8" s="307"/>
      <c r="P8" s="310"/>
      <c r="Q8" s="307"/>
      <c r="R8" s="112"/>
      <c r="S8" s="115" t="s">
        <v>3</v>
      </c>
      <c r="T8" s="115" t="s">
        <v>0</v>
      </c>
      <c r="U8" s="116"/>
      <c r="V8" s="115" t="s">
        <v>3</v>
      </c>
      <c r="W8" s="115" t="s">
        <v>46</v>
      </c>
      <c r="X8" s="116"/>
      <c r="Y8" s="315"/>
      <c r="Z8" s="310"/>
      <c r="AA8" s="307"/>
      <c r="AB8" s="112"/>
      <c r="AC8" s="307"/>
      <c r="AD8" s="310"/>
      <c r="AE8" s="307"/>
      <c r="AF8" s="114"/>
      <c r="AG8" s="307"/>
      <c r="AH8" s="272"/>
    </row>
    <row r="9" spans="1:34" s="118" customFormat="1" ht="41.25" customHeight="1">
      <c r="A9" s="214" t="s">
        <v>104</v>
      </c>
      <c r="B9" s="112"/>
      <c r="C9" s="111" t="s">
        <v>87</v>
      </c>
      <c r="D9" s="112"/>
      <c r="E9" s="111" t="s">
        <v>87</v>
      </c>
      <c r="F9" s="112"/>
      <c r="G9" s="119" t="s">
        <v>105</v>
      </c>
      <c r="H9" s="119"/>
      <c r="I9" s="119" t="s">
        <v>106</v>
      </c>
      <c r="J9" s="112"/>
      <c r="K9" s="223">
        <v>0.18</v>
      </c>
      <c r="L9" s="111"/>
      <c r="M9" s="30">
        <v>345000</v>
      </c>
      <c r="N9" s="112"/>
      <c r="O9" s="30">
        <v>320584615384</v>
      </c>
      <c r="P9" s="112"/>
      <c r="Q9" s="30">
        <v>334483793824</v>
      </c>
      <c r="R9" s="112"/>
      <c r="S9" s="30">
        <v>0</v>
      </c>
      <c r="T9" s="30">
        <v>0</v>
      </c>
      <c r="U9" s="116"/>
      <c r="V9" s="30">
        <v>0</v>
      </c>
      <c r="W9" s="30">
        <v>0</v>
      </c>
      <c r="X9" s="116"/>
      <c r="Y9" s="30">
        <v>345000</v>
      </c>
      <c r="Z9" s="112"/>
      <c r="AA9" s="91">
        <v>967185</v>
      </c>
      <c r="AB9" s="112"/>
      <c r="AC9" s="30">
        <v>320584615384</v>
      </c>
      <c r="AD9" s="30">
        <v>344934019377</v>
      </c>
      <c r="AE9" s="30">
        <v>333618345715</v>
      </c>
      <c r="AF9" s="114"/>
      <c r="AG9" s="224">
        <f>AE9/درآمدها!$J$5</f>
        <v>0.21624345601440725</v>
      </c>
      <c r="AH9" s="272">
        <f>M9+S9-V9-Y9</f>
        <v>0</v>
      </c>
    </row>
    <row r="10" spans="1:34" s="118" customFormat="1" ht="41.25" customHeight="1">
      <c r="A10" s="214" t="s">
        <v>162</v>
      </c>
      <c r="B10" s="112"/>
      <c r="C10" s="111" t="s">
        <v>87</v>
      </c>
      <c r="D10" s="112"/>
      <c r="E10" s="111" t="s">
        <v>87</v>
      </c>
      <c r="F10" s="112"/>
      <c r="G10" s="119" t="s">
        <v>164</v>
      </c>
      <c r="H10" s="119"/>
      <c r="I10" s="119" t="s">
        <v>165</v>
      </c>
      <c r="J10" s="112"/>
      <c r="K10" s="64">
        <v>0</v>
      </c>
      <c r="L10" s="111"/>
      <c r="M10" s="30">
        <v>194390</v>
      </c>
      <c r="N10" s="112"/>
      <c r="O10" s="30">
        <v>158591776185</v>
      </c>
      <c r="P10" s="112"/>
      <c r="Q10" s="30">
        <v>183995657744</v>
      </c>
      <c r="R10" s="112"/>
      <c r="S10" s="30">
        <v>0</v>
      </c>
      <c r="T10" s="30">
        <v>0</v>
      </c>
      <c r="U10" s="116"/>
      <c r="V10" s="30">
        <v>194390</v>
      </c>
      <c r="W10" s="30">
        <v>186699049246</v>
      </c>
      <c r="X10" s="116"/>
      <c r="Y10" s="30">
        <v>0</v>
      </c>
      <c r="Z10" s="112"/>
      <c r="AA10" s="91">
        <v>0</v>
      </c>
      <c r="AB10" s="112"/>
      <c r="AC10" s="30">
        <v>0</v>
      </c>
      <c r="AD10" s="30">
        <v>269490705956</v>
      </c>
      <c r="AE10" s="30">
        <v>0</v>
      </c>
      <c r="AF10" s="114"/>
      <c r="AG10" s="224">
        <f>AE10/درآمدها!$J$5</f>
        <v>0</v>
      </c>
      <c r="AH10" s="272">
        <f t="shared" ref="AH10:AH13" si="0">M10+S10-V10-Y10</f>
        <v>0</v>
      </c>
    </row>
    <row r="11" spans="1:34" s="118" customFormat="1" ht="41.25" customHeight="1">
      <c r="A11" s="214" t="s">
        <v>195</v>
      </c>
      <c r="B11" s="112"/>
      <c r="C11" s="111" t="s">
        <v>87</v>
      </c>
      <c r="D11" s="112"/>
      <c r="E11" s="111" t="s">
        <v>87</v>
      </c>
      <c r="F11" s="112"/>
      <c r="G11" s="119" t="s">
        <v>197</v>
      </c>
      <c r="H11" s="20"/>
      <c r="I11" s="119" t="s">
        <v>199</v>
      </c>
      <c r="J11" s="112"/>
      <c r="K11" s="64">
        <v>0</v>
      </c>
      <c r="L11" s="111"/>
      <c r="M11" s="30">
        <v>33574</v>
      </c>
      <c r="N11" s="102">
        <v>200036250000</v>
      </c>
      <c r="O11" s="30">
        <v>24736934728</v>
      </c>
      <c r="P11" s="30"/>
      <c r="Q11" s="30">
        <v>27540795628</v>
      </c>
      <c r="R11" s="30"/>
      <c r="S11" s="30">
        <v>0</v>
      </c>
      <c r="T11" s="30">
        <v>0</v>
      </c>
      <c r="U11" s="30"/>
      <c r="V11" s="30">
        <v>0</v>
      </c>
      <c r="W11" s="30">
        <v>0</v>
      </c>
      <c r="X11" s="30"/>
      <c r="Y11" s="30">
        <v>33574</v>
      </c>
      <c r="Z11" s="30"/>
      <c r="AA11" s="91">
        <v>828548</v>
      </c>
      <c r="AB11" s="30"/>
      <c r="AC11" s="30">
        <v>24736934728</v>
      </c>
      <c r="AD11" s="30">
        <v>764316093597</v>
      </c>
      <c r="AE11" s="30">
        <v>27812628601</v>
      </c>
      <c r="AF11" s="225"/>
      <c r="AG11" s="224">
        <f>AE11/درآمدها!$J$5</f>
        <v>1.802748262130411E-2</v>
      </c>
      <c r="AH11" s="272">
        <f t="shared" si="0"/>
        <v>0</v>
      </c>
    </row>
    <row r="12" spans="1:34" s="118" customFormat="1" ht="41.25" customHeight="1">
      <c r="A12" s="214" t="s">
        <v>125</v>
      </c>
      <c r="B12" s="112"/>
      <c r="C12" s="119" t="s">
        <v>87</v>
      </c>
      <c r="D12" s="20"/>
      <c r="E12" s="119" t="s">
        <v>87</v>
      </c>
      <c r="F12" s="20"/>
      <c r="G12" s="119" t="s">
        <v>126</v>
      </c>
      <c r="H12" s="20"/>
      <c r="I12" s="119" t="s">
        <v>127</v>
      </c>
      <c r="J12" s="119"/>
      <c r="K12" s="64">
        <v>0</v>
      </c>
      <c r="L12" s="111"/>
      <c r="M12" s="30">
        <v>355000</v>
      </c>
      <c r="N12" s="103"/>
      <c r="O12" s="30">
        <v>344932059406</v>
      </c>
      <c r="P12" s="30"/>
      <c r="Q12" s="30">
        <v>348316106262</v>
      </c>
      <c r="R12" s="30"/>
      <c r="S12" s="30">
        <v>0</v>
      </c>
      <c r="T12" s="30">
        <v>0</v>
      </c>
      <c r="U12" s="30"/>
      <c r="V12" s="30">
        <v>0</v>
      </c>
      <c r="W12" s="30">
        <v>0</v>
      </c>
      <c r="X12" s="30"/>
      <c r="Y12" s="30">
        <v>355000</v>
      </c>
      <c r="Z12" s="30"/>
      <c r="AA12" s="91">
        <v>981778</v>
      </c>
      <c r="AB12" s="30"/>
      <c r="AC12" s="30">
        <v>344932059406</v>
      </c>
      <c r="AD12" s="30">
        <v>19833844465</v>
      </c>
      <c r="AE12" s="30">
        <v>348468018725</v>
      </c>
      <c r="AF12" s="226"/>
      <c r="AG12" s="224">
        <f>AE12/درآمدها!$J$5</f>
        <v>0.22586865994461752</v>
      </c>
      <c r="AH12" s="272">
        <f t="shared" si="0"/>
        <v>0</v>
      </c>
    </row>
    <row r="13" spans="1:34" s="118" customFormat="1" ht="41.25" customHeight="1" thickBot="1">
      <c r="A13" s="214" t="s">
        <v>196</v>
      </c>
      <c r="B13" s="112"/>
      <c r="C13" s="119" t="s">
        <v>87</v>
      </c>
      <c r="D13" s="20"/>
      <c r="E13" s="119" t="s">
        <v>87</v>
      </c>
      <c r="F13" s="20"/>
      <c r="G13" s="119" t="s">
        <v>198</v>
      </c>
      <c r="H13" s="20"/>
      <c r="I13" s="119" t="s">
        <v>200</v>
      </c>
      <c r="J13" s="119"/>
      <c r="K13" s="64">
        <v>0.20499999999999999</v>
      </c>
      <c r="L13" s="383"/>
      <c r="M13" s="30">
        <v>520000</v>
      </c>
      <c r="N13" s="103"/>
      <c r="O13" s="30">
        <v>520000000000</v>
      </c>
      <c r="P13" s="30"/>
      <c r="Q13" s="30">
        <v>519905750000</v>
      </c>
      <c r="R13" s="30"/>
      <c r="S13" s="30">
        <v>0</v>
      </c>
      <c r="T13" s="30">
        <v>0</v>
      </c>
      <c r="U13" s="30"/>
      <c r="V13" s="30">
        <v>0</v>
      </c>
      <c r="W13" s="30">
        <v>0</v>
      </c>
      <c r="X13" s="30"/>
      <c r="Y13" s="30">
        <v>520000</v>
      </c>
      <c r="Z13" s="30"/>
      <c r="AA13" s="91">
        <v>1000000</v>
      </c>
      <c r="AB13" s="30"/>
      <c r="AC13" s="30">
        <v>520000000000</v>
      </c>
      <c r="AD13" s="30"/>
      <c r="AE13" s="30">
        <v>519905750000</v>
      </c>
      <c r="AF13" s="226"/>
      <c r="AG13" s="224">
        <f>AE13/درآمدها!$J$5</f>
        <v>0.33699050914245798</v>
      </c>
      <c r="AH13" s="272">
        <f t="shared" si="0"/>
        <v>0</v>
      </c>
    </row>
    <row r="14" spans="1:34" s="121" customFormat="1" ht="32.25" thickBot="1">
      <c r="A14" s="1" t="s">
        <v>2</v>
      </c>
      <c r="B14" s="120"/>
      <c r="C14" s="120"/>
      <c r="D14" s="120"/>
      <c r="E14" s="120"/>
      <c r="F14" s="120"/>
      <c r="G14" s="120"/>
      <c r="H14" s="120"/>
      <c r="I14" s="120"/>
      <c r="J14" s="120"/>
      <c r="K14" s="384"/>
      <c r="L14" s="384"/>
      <c r="M14" s="385"/>
      <c r="N14" s="93"/>
      <c r="O14" s="386">
        <f>SUM(O9:O13)</f>
        <v>1368845385703</v>
      </c>
      <c r="P14" s="387"/>
      <c r="Q14" s="386">
        <f>SUM(Q9:Q13)</f>
        <v>1414242103458</v>
      </c>
      <c r="R14" s="387"/>
      <c r="S14" s="385"/>
      <c r="T14" s="386">
        <f>SUM(T9:T13)</f>
        <v>0</v>
      </c>
      <c r="U14" s="387"/>
      <c r="V14" s="385"/>
      <c r="W14" s="386">
        <f>SUM(W9:X13)</f>
        <v>186699049246</v>
      </c>
      <c r="X14" s="387"/>
      <c r="Y14" s="385"/>
      <c r="Z14" s="387"/>
      <c r="AA14" s="387"/>
      <c r="AB14" s="387"/>
      <c r="AC14" s="386">
        <f>SUM(AC9:AC13)</f>
        <v>1210253609518</v>
      </c>
      <c r="AD14" s="387"/>
      <c r="AE14" s="386">
        <f>SUM(AE9:AE13)</f>
        <v>1229804743041</v>
      </c>
      <c r="AF14" s="109"/>
      <c r="AG14" s="232">
        <f>SUM(AG9:AG13)</f>
        <v>0.79713010772278681</v>
      </c>
      <c r="AH14" s="117"/>
    </row>
    <row r="15" spans="1:34" s="122" customFormat="1" ht="32.25" thickTop="1">
      <c r="M15" s="109"/>
      <c r="N15" s="109"/>
      <c r="P15" s="109"/>
      <c r="R15" s="109"/>
      <c r="S15" s="109"/>
      <c r="U15" s="109"/>
      <c r="V15" s="109"/>
      <c r="X15" s="109"/>
      <c r="Y15" s="109"/>
      <c r="Z15" s="109"/>
      <c r="AA15" s="109"/>
      <c r="AB15" s="109"/>
      <c r="AD15" s="109"/>
      <c r="AF15" s="109"/>
    </row>
    <row r="21" spans="27:29">
      <c r="AA21" s="211"/>
      <c r="AC21" s="222"/>
    </row>
    <row r="22" spans="27:29">
      <c r="AA22" s="211"/>
    </row>
    <row r="23" spans="27:29">
      <c r="AA23" s="212"/>
    </row>
  </sheetData>
  <mergeCells count="28">
    <mergeCell ref="AD7:AD8"/>
    <mergeCell ref="AE7:AE8"/>
    <mergeCell ref="AG7:AG8"/>
    <mergeCell ref="S7:T7"/>
    <mergeCell ref="V7:W7"/>
    <mergeCell ref="Y7:Y8"/>
    <mergeCell ref="Z7:Z8"/>
    <mergeCell ref="AA7:AA8"/>
    <mergeCell ref="AC7:AC8"/>
    <mergeCell ref="Q7:Q8"/>
    <mergeCell ref="A7:A8"/>
    <mergeCell ref="C7:C8"/>
    <mergeCell ref="E7:E8"/>
    <mergeCell ref="G7:G8"/>
    <mergeCell ref="I7:I8"/>
    <mergeCell ref="K7:K8"/>
    <mergeCell ref="M7:M8"/>
    <mergeCell ref="N7:N8"/>
    <mergeCell ref="O7:O8"/>
    <mergeCell ref="P7:P8"/>
    <mergeCell ref="A1:AG1"/>
    <mergeCell ref="A2:AG2"/>
    <mergeCell ref="A3:AG3"/>
    <mergeCell ref="A4:AG4"/>
    <mergeCell ref="A6:L6"/>
    <mergeCell ref="M6:Q6"/>
    <mergeCell ref="S6:W6"/>
    <mergeCell ref="Y6:AG6"/>
  </mergeCells>
  <pageMargins left="0.25" right="0.25" top="0.75" bottom="0.75" header="0.3" footer="0.3"/>
  <pageSetup paperSize="9" scale="3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4" tint="0.79998168889431442"/>
  </sheetPr>
  <dimension ref="A1:AG21"/>
  <sheetViews>
    <sheetView rightToLeft="1" view="pageBreakPreview" zoomScale="85" zoomScaleNormal="56" zoomScaleSheetLayoutView="85" workbookViewId="0">
      <selection activeCell="A10" sqref="A10"/>
    </sheetView>
  </sheetViews>
  <sheetFormatPr defaultRowHeight="15"/>
  <cols>
    <col min="1" max="1" width="37.42578125" customWidth="1"/>
    <col min="2" max="2" width="2" customWidth="1"/>
    <col min="3" max="3" width="12.5703125" customWidth="1"/>
    <col min="4" max="4" width="2" customWidth="1"/>
    <col min="5" max="5" width="13.7109375" customWidth="1"/>
    <col min="6" max="6" width="2" customWidth="1"/>
    <col min="7" max="7" width="11.7109375" customWidth="1"/>
    <col min="8" max="8" width="2" customWidth="1"/>
    <col min="9" max="9" width="12" customWidth="1"/>
    <col min="10" max="10" width="2" customWidth="1"/>
    <col min="11" max="11" width="20.28515625" customWidth="1"/>
    <col min="12" max="12" width="2" customWidth="1"/>
    <col min="13" max="13" width="47.28515625" customWidth="1"/>
    <col min="14" max="14" width="20.140625" bestFit="1" customWidth="1"/>
    <col min="15" max="15" width="17.28515625" style="99" customWidth="1"/>
    <col min="16" max="16" width="16.7109375" bestFit="1" customWidth="1"/>
  </cols>
  <sheetData>
    <row r="1" spans="1:33" s="108" customFormat="1" ht="24.75">
      <c r="A1" s="316" t="s">
        <v>84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123"/>
      <c r="O1" s="94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</row>
    <row r="2" spans="1:33" s="108" customFormat="1" ht="24.75">
      <c r="A2" s="316" t="s">
        <v>47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123"/>
      <c r="O2" s="94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</row>
    <row r="3" spans="1:33" s="108" customFormat="1" ht="24.75">
      <c r="A3" s="316" t="str">
        <f>' سهام'!A3:W3</f>
        <v>برای ماه منتهی به 1403/07/30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123"/>
      <c r="O3" s="94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</row>
    <row r="5" spans="1:33" s="124" customFormat="1" ht="22.5">
      <c r="A5" s="317" t="s">
        <v>94</v>
      </c>
      <c r="B5" s="318"/>
      <c r="C5" s="318"/>
      <c r="D5" s="318"/>
      <c r="E5" s="318"/>
      <c r="F5" s="318"/>
      <c r="G5" s="318"/>
      <c r="H5" s="318"/>
      <c r="I5" s="318"/>
      <c r="J5" s="318"/>
      <c r="K5" s="318"/>
      <c r="L5" s="318"/>
      <c r="M5" s="318"/>
      <c r="N5" s="95"/>
      <c r="O5" s="96"/>
      <c r="P5" s="97"/>
    </row>
    <row r="6" spans="1:33" s="124" customFormat="1" ht="22.5">
      <c r="A6" s="317" t="s">
        <v>95</v>
      </c>
      <c r="B6" s="318"/>
      <c r="C6" s="318"/>
      <c r="D6" s="318"/>
      <c r="E6" s="318"/>
      <c r="F6" s="318"/>
      <c r="G6" s="318"/>
      <c r="H6" s="318"/>
      <c r="I6" s="318"/>
      <c r="J6" s="318"/>
      <c r="K6" s="318"/>
      <c r="L6" s="318"/>
      <c r="M6" s="318"/>
      <c r="N6" s="95"/>
      <c r="O6" s="96"/>
      <c r="P6" s="97"/>
    </row>
    <row r="7" spans="1:33" s="124" customFormat="1" ht="47.1" customHeight="1" thickBot="1">
      <c r="A7" s="125"/>
    </row>
    <row r="8" spans="1:33" ht="42">
      <c r="A8" s="284" t="s">
        <v>88</v>
      </c>
      <c r="B8" s="126"/>
      <c r="C8" s="227" t="s">
        <v>89</v>
      </c>
      <c r="D8" s="126"/>
      <c r="E8" s="227" t="s">
        <v>252</v>
      </c>
      <c r="F8" s="126"/>
      <c r="G8" s="227" t="s">
        <v>90</v>
      </c>
      <c r="H8" s="126"/>
      <c r="I8" s="227" t="s">
        <v>91</v>
      </c>
      <c r="J8" s="126"/>
      <c r="K8" s="227" t="s">
        <v>92</v>
      </c>
      <c r="L8" s="126"/>
      <c r="M8" s="227" t="s">
        <v>93</v>
      </c>
      <c r="N8" s="124"/>
      <c r="O8" s="124"/>
      <c r="P8" s="124"/>
      <c r="Q8" s="124"/>
    </row>
    <row r="9" spans="1:33" ht="45">
      <c r="A9" s="229" t="s">
        <v>271</v>
      </c>
      <c r="B9" s="229"/>
      <c r="C9" s="285">
        <v>345000</v>
      </c>
      <c r="D9" s="124"/>
      <c r="E9" s="130">
        <v>990760</v>
      </c>
      <c r="F9" s="124"/>
      <c r="G9" s="283">
        <v>967185</v>
      </c>
      <c r="H9" s="124"/>
      <c r="I9" s="229">
        <f>(G9/E9)-1</f>
        <v>-2.3794864548427497E-2</v>
      </c>
      <c r="J9" s="124"/>
      <c r="K9" s="277">
        <f>اوراق!$AE$9</f>
        <v>333618345715</v>
      </c>
      <c r="L9" s="124"/>
      <c r="M9" s="228" t="s">
        <v>216</v>
      </c>
      <c r="N9" s="124"/>
      <c r="O9" s="124"/>
      <c r="P9" s="124"/>
      <c r="Q9" s="124"/>
    </row>
    <row r="10" spans="1:33" ht="45">
      <c r="A10" s="229" t="s">
        <v>304</v>
      </c>
      <c r="B10" s="229"/>
      <c r="C10" s="285">
        <v>355000</v>
      </c>
      <c r="D10" s="124"/>
      <c r="E10" s="130">
        <v>984350</v>
      </c>
      <c r="F10" s="124"/>
      <c r="G10" s="283">
        <v>981778</v>
      </c>
      <c r="H10" s="124"/>
      <c r="I10" s="229">
        <f>(G10/E10)-1</f>
        <v>-2.6128917559811171E-3</v>
      </c>
      <c r="J10" s="124"/>
      <c r="K10" s="277">
        <f>اوراق!AE12</f>
        <v>348468018725</v>
      </c>
      <c r="L10" s="124"/>
      <c r="M10" s="228" t="s">
        <v>216</v>
      </c>
      <c r="N10" s="124"/>
      <c r="O10" s="124"/>
      <c r="P10" s="124"/>
      <c r="Q10" s="124"/>
    </row>
    <row r="11" spans="1:33" ht="22.5">
      <c r="A11" s="130"/>
      <c r="B11" s="130"/>
      <c r="C11" s="130"/>
      <c r="D11" s="130"/>
      <c r="E11" s="130"/>
      <c r="F11" s="130"/>
      <c r="G11" s="130"/>
      <c r="H11" s="130"/>
      <c r="I11" s="127"/>
      <c r="J11" s="130"/>
      <c r="K11" s="130"/>
      <c r="L11" s="130"/>
      <c r="M11" s="130"/>
      <c r="N11" s="98"/>
      <c r="O11" s="129"/>
      <c r="P11" s="105"/>
      <c r="Q11" s="124"/>
    </row>
    <row r="12" spans="1:33" ht="22.5">
      <c r="C12" s="131"/>
      <c r="L12" s="128"/>
    </row>
    <row r="13" spans="1:33">
      <c r="C13" s="131"/>
      <c r="O13" s="230"/>
    </row>
    <row r="15" spans="1:33" ht="22.5">
      <c r="G15" s="132"/>
      <c r="N15" s="95"/>
    </row>
    <row r="16" spans="1:33" ht="22.5">
      <c r="E16" s="130"/>
      <c r="N16" s="95"/>
      <c r="O16" s="231"/>
    </row>
    <row r="17" spans="11:14" ht="22.5">
      <c r="N17" s="95"/>
    </row>
    <row r="19" spans="11:14">
      <c r="K19" s="131"/>
      <c r="M19" s="133"/>
    </row>
    <row r="20" spans="11:14">
      <c r="K20" s="131"/>
    </row>
    <row r="21" spans="11:14">
      <c r="M21" s="131"/>
    </row>
  </sheetData>
  <mergeCells count="5">
    <mergeCell ref="A5:M5"/>
    <mergeCell ref="A6:M6"/>
    <mergeCell ref="A1:M1"/>
    <mergeCell ref="A2:M2"/>
    <mergeCell ref="A3:M3"/>
  </mergeCells>
  <pageMargins left="0.7" right="0.7" top="0.75" bottom="0.75" header="0.3" footer="0.3"/>
  <pageSetup scale="5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4" tint="0.79998168889431442"/>
    <pageSetUpPr fitToPage="1"/>
  </sheetPr>
  <dimension ref="A1:K37"/>
  <sheetViews>
    <sheetView rightToLeft="1" view="pageBreakPreview" topLeftCell="A4" zoomScaleNormal="100" zoomScaleSheetLayoutView="100" workbookViewId="0">
      <selection activeCell="E38" sqref="E38"/>
    </sheetView>
  </sheetViews>
  <sheetFormatPr defaultColWidth="9.140625" defaultRowHeight="15"/>
  <cols>
    <col min="1" max="1" width="38" style="134" customWidth="1"/>
    <col min="2" max="2" width="0.42578125" style="134" customWidth="1"/>
    <col min="3" max="3" width="17" style="70" customWidth="1"/>
    <col min="4" max="4" width="0.7109375" style="134" customWidth="1"/>
    <col min="5" max="5" width="21.85546875" style="134" customWidth="1"/>
    <col min="6" max="6" width="0.42578125" style="134" customWidth="1"/>
    <col min="7" max="7" width="22.140625" style="134" customWidth="1"/>
    <col min="8" max="8" width="0.42578125" style="134" customWidth="1"/>
    <col min="9" max="9" width="16.140625" style="134" customWidth="1"/>
    <col min="10" max="10" width="0.5703125" style="134" customWidth="1"/>
    <col min="11" max="11" width="16" style="134" customWidth="1"/>
    <col min="12" max="16384" width="9.140625" style="134"/>
  </cols>
  <sheetData>
    <row r="1" spans="1:11" ht="18.75">
      <c r="A1" s="320" t="s">
        <v>84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</row>
    <row r="2" spans="1:11" ht="18.75">
      <c r="A2" s="320" t="s">
        <v>47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</row>
    <row r="3" spans="1:11" ht="16.5" customHeight="1">
      <c r="A3" s="320" t="str">
        <f>' سهام'!A3:W3</f>
        <v>برای ماه منتهی به 1403/07/30</v>
      </c>
      <c r="B3" s="320"/>
      <c r="C3" s="320"/>
      <c r="D3" s="320"/>
      <c r="E3" s="320"/>
      <c r="F3" s="320"/>
      <c r="G3" s="320"/>
      <c r="H3" s="320"/>
      <c r="I3" s="320"/>
      <c r="J3" s="320"/>
      <c r="K3" s="320"/>
    </row>
    <row r="4" spans="1:11" ht="18.75">
      <c r="A4" s="323" t="s">
        <v>48</v>
      </c>
      <c r="B4" s="323"/>
      <c r="C4" s="323"/>
      <c r="D4" s="323"/>
      <c r="E4" s="323"/>
      <c r="F4" s="323"/>
      <c r="G4" s="323"/>
      <c r="H4" s="323"/>
      <c r="I4" s="323"/>
      <c r="J4" s="323"/>
      <c r="K4" s="323"/>
    </row>
    <row r="5" spans="1:11" ht="11.25" customHeight="1" thickBot="1">
      <c r="A5" s="135"/>
      <c r="B5" s="136"/>
      <c r="C5" s="65"/>
      <c r="D5" s="136"/>
      <c r="E5" s="136"/>
      <c r="F5" s="136"/>
      <c r="G5" s="136"/>
      <c r="H5" s="136"/>
      <c r="I5" s="136"/>
      <c r="J5" s="136"/>
      <c r="K5" s="136"/>
    </row>
    <row r="6" spans="1:11" ht="18.75" customHeight="1" thickBot="1">
      <c r="A6" s="137"/>
      <c r="B6" s="138"/>
      <c r="C6" s="66" t="s">
        <v>270</v>
      </c>
      <c r="D6" s="139"/>
      <c r="E6" s="319" t="s">
        <v>7</v>
      </c>
      <c r="F6" s="319"/>
      <c r="G6" s="319"/>
      <c r="H6" s="140"/>
      <c r="I6" s="197" t="s">
        <v>316</v>
      </c>
      <c r="J6" s="198"/>
      <c r="K6" s="198"/>
    </row>
    <row r="7" spans="1:11" ht="17.25" customHeight="1">
      <c r="A7" s="326" t="s">
        <v>8</v>
      </c>
      <c r="B7" s="326"/>
      <c r="C7" s="328" t="s">
        <v>6</v>
      </c>
      <c r="D7" s="141"/>
      <c r="E7" s="330" t="s">
        <v>33</v>
      </c>
      <c r="F7" s="142"/>
      <c r="G7" s="330" t="s">
        <v>34</v>
      </c>
      <c r="H7" s="135"/>
      <c r="I7" s="324" t="s">
        <v>6</v>
      </c>
      <c r="J7" s="326"/>
      <c r="K7" s="321" t="s">
        <v>20</v>
      </c>
    </row>
    <row r="8" spans="1:11" ht="11.25" customHeight="1" thickBot="1">
      <c r="A8" s="327"/>
      <c r="B8" s="326"/>
      <c r="C8" s="329"/>
      <c r="D8" s="141"/>
      <c r="E8" s="331"/>
      <c r="F8" s="135"/>
      <c r="G8" s="331"/>
      <c r="H8" s="135"/>
      <c r="I8" s="325"/>
      <c r="J8" s="326"/>
      <c r="K8" s="322"/>
    </row>
    <row r="9" spans="1:11" s="135" customFormat="1" ht="18">
      <c r="A9" s="143" t="s">
        <v>101</v>
      </c>
      <c r="B9" s="68"/>
      <c r="C9" s="68">
        <v>35222483321</v>
      </c>
      <c r="D9" s="68"/>
      <c r="E9" s="67">
        <v>358144504925</v>
      </c>
      <c r="F9" s="68"/>
      <c r="G9" s="67">
        <v>361146119764</v>
      </c>
      <c r="H9" s="68"/>
      <c r="I9" s="68">
        <v>32220868482</v>
      </c>
      <c r="K9" s="69">
        <f>I9/درآمدها!$J$5</f>
        <v>2.0884798590439436E-2</v>
      </c>
    </row>
    <row r="10" spans="1:11" s="135" customFormat="1" ht="18">
      <c r="A10" s="143" t="s">
        <v>142</v>
      </c>
      <c r="B10" s="68"/>
      <c r="C10" s="68">
        <v>192105565</v>
      </c>
      <c r="D10" s="68"/>
      <c r="E10" s="67">
        <v>24025066302</v>
      </c>
      <c r="F10" s="68"/>
      <c r="G10" s="67">
        <v>23117960078</v>
      </c>
      <c r="H10" s="68"/>
      <c r="I10" s="68">
        <v>1099211789</v>
      </c>
      <c r="K10" s="69">
        <f>I10/درآمدها!$J$5</f>
        <v>7.1248286911714692E-4</v>
      </c>
    </row>
    <row r="11" spans="1:11" s="135" customFormat="1" ht="18">
      <c r="A11" s="143" t="s">
        <v>275</v>
      </c>
      <c r="B11" s="68"/>
      <c r="C11" s="68">
        <v>22237000000</v>
      </c>
      <c r="D11" s="68"/>
      <c r="E11" s="67">
        <v>0</v>
      </c>
      <c r="F11" s="68"/>
      <c r="G11" s="67">
        <v>719000000</v>
      </c>
      <c r="H11" s="68"/>
      <c r="I11" s="68">
        <v>21518000000</v>
      </c>
      <c r="K11" s="69">
        <f>I11/درآمدها!$J$5</f>
        <v>1.394745446790579E-2</v>
      </c>
    </row>
    <row r="12" spans="1:11" s="135" customFormat="1" ht="18">
      <c r="A12" s="143" t="s">
        <v>185</v>
      </c>
      <c r="B12" s="68"/>
      <c r="C12" s="68">
        <v>85781500000</v>
      </c>
      <c r="D12" s="68"/>
      <c r="E12" s="67">
        <v>0</v>
      </c>
      <c r="F12" s="68"/>
      <c r="G12" s="67">
        <v>0</v>
      </c>
      <c r="H12" s="68"/>
      <c r="I12" s="68">
        <v>85781500000</v>
      </c>
      <c r="K12" s="69">
        <f>I12/درآمدها!$J$5</f>
        <v>5.5601522699073362E-2</v>
      </c>
    </row>
    <row r="13" spans="1:11" s="135" customFormat="1" ht="18.75" customHeight="1">
      <c r="A13" s="143" t="s">
        <v>276</v>
      </c>
      <c r="B13" s="68"/>
      <c r="C13" s="68">
        <v>43690000000</v>
      </c>
      <c r="D13" s="68"/>
      <c r="E13" s="67">
        <v>0</v>
      </c>
      <c r="F13" s="68"/>
      <c r="G13" s="67">
        <v>733000000</v>
      </c>
      <c r="H13" s="68"/>
      <c r="I13" s="68">
        <v>42957000000</v>
      </c>
      <c r="K13" s="69">
        <f>I13/درآمدها!$J$5</f>
        <v>2.7843703019696488E-2</v>
      </c>
    </row>
    <row r="14" spans="1:11" s="135" customFormat="1" ht="19.5" customHeight="1">
      <c r="A14" s="143" t="s">
        <v>193</v>
      </c>
      <c r="B14" s="68"/>
      <c r="C14" s="68">
        <v>19819000000</v>
      </c>
      <c r="D14" s="68"/>
      <c r="E14" s="67">
        <v>0</v>
      </c>
      <c r="F14" s="68"/>
      <c r="G14" s="67">
        <v>0</v>
      </c>
      <c r="H14" s="68"/>
      <c r="I14" s="68">
        <v>19819000000</v>
      </c>
      <c r="K14" s="69">
        <f>I14/درآمدها!$J$5</f>
        <v>1.2846203183354627E-2</v>
      </c>
    </row>
    <row r="15" spans="1:11" s="135" customFormat="1" ht="19.5" customHeight="1">
      <c r="A15" s="143" t="s">
        <v>214</v>
      </c>
      <c r="B15" s="68"/>
      <c r="C15" s="68">
        <v>14163000000</v>
      </c>
      <c r="D15" s="68"/>
      <c r="E15" s="67">
        <v>0</v>
      </c>
      <c r="F15" s="68"/>
      <c r="G15" s="67">
        <v>3500000000</v>
      </c>
      <c r="H15" s="68"/>
      <c r="I15" s="68">
        <v>10663000000</v>
      </c>
      <c r="K15" s="69">
        <f>I15/درآمدها!$J$5</f>
        <v>6.9115023232307581E-3</v>
      </c>
    </row>
    <row r="16" spans="1:11" s="135" customFormat="1" ht="19.5" customHeight="1">
      <c r="A16" s="143" t="s">
        <v>184</v>
      </c>
      <c r="B16" s="68"/>
      <c r="C16" s="68">
        <v>12000000000</v>
      </c>
      <c r="D16" s="68"/>
      <c r="E16" s="67">
        <v>0</v>
      </c>
      <c r="F16" s="68"/>
      <c r="G16" s="67">
        <v>8051500000</v>
      </c>
      <c r="H16" s="68"/>
      <c r="I16" s="68">
        <v>3948500000</v>
      </c>
      <c r="K16" s="69">
        <f>I16/درآمدها!$J$5</f>
        <v>2.5593235415245848E-3</v>
      </c>
    </row>
    <row r="17" spans="1:11" s="135" customFormat="1" ht="19.5" customHeight="1">
      <c r="A17" s="143" t="s">
        <v>274</v>
      </c>
      <c r="B17" s="68"/>
      <c r="C17" s="68">
        <v>4077500000</v>
      </c>
      <c r="D17" s="68"/>
      <c r="E17" s="67">
        <v>0</v>
      </c>
      <c r="F17" s="68"/>
      <c r="G17" s="67">
        <v>0</v>
      </c>
      <c r="H17" s="68"/>
      <c r="I17" s="68">
        <v>4077500000</v>
      </c>
      <c r="K17" s="69">
        <f>I17/درآمدها!$J$5</f>
        <v>2.6429382653074571E-3</v>
      </c>
    </row>
    <row r="18" spans="1:11" s="135" customFormat="1" ht="18">
      <c r="A18" s="143" t="s">
        <v>272</v>
      </c>
      <c r="B18" s="68"/>
      <c r="C18" s="68">
        <v>3466500000</v>
      </c>
      <c r="D18" s="68"/>
      <c r="E18" s="67">
        <v>0</v>
      </c>
      <c r="F18" s="68"/>
      <c r="G18" s="67">
        <v>0</v>
      </c>
      <c r="H18" s="68"/>
      <c r="I18" s="68">
        <v>3466500000</v>
      </c>
      <c r="K18" s="69">
        <f>I18/درآمدها!$J$5</f>
        <v>2.2469026356071856E-3</v>
      </c>
    </row>
    <row r="19" spans="1:11" s="135" customFormat="1" ht="19.5" customHeight="1">
      <c r="A19" s="143" t="s">
        <v>180</v>
      </c>
      <c r="B19" s="68"/>
      <c r="C19" s="68">
        <v>2190000000</v>
      </c>
      <c r="D19" s="68"/>
      <c r="E19" s="67">
        <v>0</v>
      </c>
      <c r="F19" s="68"/>
      <c r="G19" s="67">
        <v>0</v>
      </c>
      <c r="H19" s="68"/>
      <c r="I19" s="68">
        <v>2190000000</v>
      </c>
      <c r="K19" s="69">
        <f>I19/درآمدها!$J$5</f>
        <v>1.419505775848763E-3</v>
      </c>
    </row>
    <row r="20" spans="1:11" s="135" customFormat="1" ht="19.5" customHeight="1">
      <c r="A20" s="143" t="s">
        <v>177</v>
      </c>
      <c r="B20" s="68"/>
      <c r="C20" s="68">
        <v>2075000000</v>
      </c>
      <c r="D20" s="68"/>
      <c r="E20" s="67">
        <v>0</v>
      </c>
      <c r="F20" s="68"/>
      <c r="G20" s="67">
        <v>0</v>
      </c>
      <c r="H20" s="68"/>
      <c r="I20" s="68">
        <v>2075000000</v>
      </c>
      <c r="K20" s="69">
        <f>I20/درآمدها!$J$5</f>
        <v>1.3449655182128689E-3</v>
      </c>
    </row>
    <row r="21" spans="1:11" s="135" customFormat="1" ht="19.5" customHeight="1">
      <c r="A21" s="143" t="s">
        <v>170</v>
      </c>
      <c r="B21" s="68"/>
      <c r="C21" s="68">
        <v>1980000000</v>
      </c>
      <c r="D21" s="68"/>
      <c r="E21" s="67">
        <v>0</v>
      </c>
      <c r="F21" s="68"/>
      <c r="G21" s="67">
        <v>0</v>
      </c>
      <c r="H21" s="68"/>
      <c r="I21" s="68">
        <v>1980000000</v>
      </c>
      <c r="K21" s="69">
        <f>I21/درآمدها!$J$5</f>
        <v>1.283388783644087E-3</v>
      </c>
    </row>
    <row r="22" spans="1:11" s="135" customFormat="1" ht="18">
      <c r="A22" s="143" t="s">
        <v>207</v>
      </c>
      <c r="B22" s="68"/>
      <c r="C22" s="68">
        <v>1038000000</v>
      </c>
      <c r="D22" s="68"/>
      <c r="E22" s="67">
        <v>0</v>
      </c>
      <c r="F22" s="68"/>
      <c r="G22" s="67">
        <v>249500000</v>
      </c>
      <c r="H22" s="68"/>
      <c r="I22" s="68">
        <v>788500000</v>
      </c>
      <c r="K22" s="69">
        <f>I22/درآمدها!$J$5</f>
        <v>5.1108689692089021E-4</v>
      </c>
    </row>
    <row r="23" spans="1:11" s="135" customFormat="1" ht="18">
      <c r="A23" s="143" t="s">
        <v>273</v>
      </c>
      <c r="B23" s="68"/>
      <c r="C23" s="68">
        <v>998000000</v>
      </c>
      <c r="D23" s="68"/>
      <c r="E23" s="67">
        <v>0</v>
      </c>
      <c r="F23" s="68"/>
      <c r="G23" s="67">
        <v>998000000</v>
      </c>
      <c r="H23" s="68"/>
      <c r="I23" s="68">
        <v>0</v>
      </c>
      <c r="K23" s="69">
        <f>I23/درآمدها!$J$5</f>
        <v>0</v>
      </c>
    </row>
    <row r="24" spans="1:11" s="135" customFormat="1" ht="18">
      <c r="A24" s="143" t="s">
        <v>99</v>
      </c>
      <c r="B24" s="68"/>
      <c r="C24" s="68">
        <v>52943025</v>
      </c>
      <c r="D24" s="68"/>
      <c r="E24" s="67">
        <v>6004</v>
      </c>
      <c r="F24" s="68"/>
      <c r="G24" s="67">
        <v>51529100</v>
      </c>
      <c r="H24" s="68"/>
      <c r="I24" s="68">
        <v>1419929</v>
      </c>
      <c r="K24" s="69">
        <f>I24/درآمدها!$J$5</f>
        <v>9.2036411725806306E-7</v>
      </c>
    </row>
    <row r="25" spans="1:11" s="135" customFormat="1" ht="18">
      <c r="A25" s="143" t="s">
        <v>128</v>
      </c>
      <c r="B25" s="68"/>
      <c r="C25" s="68">
        <v>2874470</v>
      </c>
      <c r="D25" s="68"/>
      <c r="E25" s="67">
        <v>10066</v>
      </c>
      <c r="F25" s="68"/>
      <c r="G25" s="67">
        <v>504000</v>
      </c>
      <c r="H25" s="68"/>
      <c r="I25" s="68">
        <v>2380536</v>
      </c>
      <c r="K25" s="69">
        <f>I25/درآمدها!$J$5</f>
        <v>1.5430066674045256E-6</v>
      </c>
    </row>
    <row r="26" spans="1:11" s="135" customFormat="1" ht="18">
      <c r="A26" s="143" t="s">
        <v>100</v>
      </c>
      <c r="B26" s="68"/>
      <c r="C26" s="68">
        <v>1970512</v>
      </c>
      <c r="D26" s="68"/>
      <c r="E26" s="67">
        <v>6228</v>
      </c>
      <c r="F26" s="68"/>
      <c r="G26" s="67">
        <v>580000</v>
      </c>
      <c r="H26" s="68"/>
      <c r="I26" s="68">
        <v>1396740</v>
      </c>
      <c r="K26" s="69">
        <f>I26/درآمدها!$J$5</f>
        <v>9.0533356043790006E-7</v>
      </c>
    </row>
    <row r="27" spans="1:11" s="135" customFormat="1" ht="18">
      <c r="A27" s="143" t="s">
        <v>215</v>
      </c>
      <c r="B27" s="68"/>
      <c r="C27" s="68">
        <v>1432701</v>
      </c>
      <c r="D27" s="68"/>
      <c r="E27" s="67">
        <v>3944</v>
      </c>
      <c r="F27" s="68"/>
      <c r="G27" s="67">
        <v>504000</v>
      </c>
      <c r="H27" s="68"/>
      <c r="I27" s="68">
        <v>932645</v>
      </c>
      <c r="K27" s="69">
        <f>I27/درآمدها!$J$5</f>
        <v>6.0451824854633309E-7</v>
      </c>
    </row>
    <row r="28" spans="1:11" s="135" customFormat="1" ht="18">
      <c r="A28" s="143" t="s">
        <v>129</v>
      </c>
      <c r="B28" s="68"/>
      <c r="C28" s="68">
        <v>875236</v>
      </c>
      <c r="D28" s="68"/>
      <c r="E28" s="67">
        <v>0</v>
      </c>
      <c r="F28" s="68"/>
      <c r="G28" s="67">
        <v>504000</v>
      </c>
      <c r="H28" s="68"/>
      <c r="I28" s="68">
        <v>371236</v>
      </c>
      <c r="K28" s="69">
        <f>I28/درآمدها!$J$5</f>
        <v>2.4062632246711935E-7</v>
      </c>
    </row>
    <row r="29" spans="1:11" s="135" customFormat="1" ht="18">
      <c r="A29" s="143" t="s">
        <v>169</v>
      </c>
      <c r="B29" s="68"/>
      <c r="C29" s="68">
        <v>795903</v>
      </c>
      <c r="D29" s="68"/>
      <c r="E29" s="67">
        <v>3262</v>
      </c>
      <c r="F29" s="68"/>
      <c r="G29" s="67">
        <v>0</v>
      </c>
      <c r="H29" s="68"/>
      <c r="I29" s="68">
        <v>799165</v>
      </c>
      <c r="K29" s="69">
        <f>I29/درآمدها!$J$5</f>
        <v>5.1799969559642767E-7</v>
      </c>
    </row>
    <row r="30" spans="1:11" s="135" customFormat="1" ht="18">
      <c r="A30" s="143" t="s">
        <v>103</v>
      </c>
      <c r="B30" s="68"/>
      <c r="C30" s="68">
        <v>583736</v>
      </c>
      <c r="D30" s="68"/>
      <c r="E30" s="67">
        <v>2472</v>
      </c>
      <c r="F30" s="68"/>
      <c r="G30" s="67">
        <v>0</v>
      </c>
      <c r="H30" s="68"/>
      <c r="I30" s="68">
        <v>586208</v>
      </c>
      <c r="K30" s="69">
        <f>I30/درآمدها!$J$5</f>
        <v>3.7996604650627931E-7</v>
      </c>
    </row>
    <row r="31" spans="1:11" s="135" customFormat="1" ht="18">
      <c r="A31" s="143" t="s">
        <v>109</v>
      </c>
      <c r="B31" s="68"/>
      <c r="C31" s="68">
        <v>365583</v>
      </c>
      <c r="D31" s="68"/>
      <c r="E31" s="67">
        <v>1541</v>
      </c>
      <c r="F31" s="68"/>
      <c r="G31" s="67">
        <v>0</v>
      </c>
      <c r="H31" s="68"/>
      <c r="I31" s="68">
        <v>367124</v>
      </c>
      <c r="K31" s="69">
        <f>I31/درآمدها!$J$5</f>
        <v>2.3796102212452112E-7</v>
      </c>
    </row>
    <row r="32" spans="1:11" s="135" customFormat="1" ht="18">
      <c r="A32" s="143" t="s">
        <v>97</v>
      </c>
      <c r="B32" s="68"/>
      <c r="C32" s="68">
        <v>317865</v>
      </c>
      <c r="D32" s="68"/>
      <c r="E32" s="67">
        <v>149589041</v>
      </c>
      <c r="F32" s="68"/>
      <c r="G32" s="67">
        <v>148034800</v>
      </c>
      <c r="H32" s="68"/>
      <c r="I32" s="68">
        <v>1872106</v>
      </c>
      <c r="K32" s="69">
        <f>I32/درآمدها!$J$5</f>
        <v>1.2134544657539381E-6</v>
      </c>
    </row>
    <row r="33" spans="1:11" s="135" customFormat="1" ht="18">
      <c r="A33" s="143" t="s">
        <v>102</v>
      </c>
      <c r="B33" s="68"/>
      <c r="C33" s="68">
        <v>296409</v>
      </c>
      <c r="D33" s="68"/>
      <c r="E33" s="67">
        <v>0</v>
      </c>
      <c r="F33" s="68"/>
      <c r="G33" s="67">
        <v>4000</v>
      </c>
      <c r="H33" s="68"/>
      <c r="I33" s="68">
        <v>292409</v>
      </c>
      <c r="K33" s="69">
        <f>I33/درآمدها!$J$5</f>
        <v>1.8953254082655749E-7</v>
      </c>
    </row>
    <row r="34" spans="1:11" s="135" customFormat="1" ht="18">
      <c r="A34" s="143" t="s">
        <v>107</v>
      </c>
      <c r="B34" s="68"/>
      <c r="C34" s="68">
        <v>262424</v>
      </c>
      <c r="D34" s="68"/>
      <c r="E34" s="67">
        <v>0</v>
      </c>
      <c r="F34" s="68"/>
      <c r="G34" s="67">
        <v>0</v>
      </c>
      <c r="H34" s="68"/>
      <c r="I34" s="68">
        <v>262424</v>
      </c>
      <c r="K34" s="69">
        <f>I34/درآمدها!$J$5</f>
        <v>1.7009697886818986E-7</v>
      </c>
    </row>
    <row r="35" spans="1:11" s="135" customFormat="1" ht="18.75" thickBot="1">
      <c r="A35" s="388" t="s">
        <v>98</v>
      </c>
      <c r="B35" s="68"/>
      <c r="C35" s="68">
        <v>136000</v>
      </c>
      <c r="D35" s="68"/>
      <c r="E35" s="67">
        <v>0</v>
      </c>
      <c r="F35" s="68"/>
      <c r="G35" s="67">
        <v>0</v>
      </c>
      <c r="H35" s="68"/>
      <c r="I35" s="68">
        <v>136000</v>
      </c>
      <c r="K35" s="69">
        <f>I35/درآمدها!$J$5</f>
        <v>8.815195685636154E-8</v>
      </c>
    </row>
    <row r="36" spans="1:11" s="240" customFormat="1" ht="18.75" thickBot="1">
      <c r="A36" s="388"/>
      <c r="B36" s="68"/>
      <c r="C36" s="389">
        <f>SUM(C9:C35)</f>
        <v>248992942750</v>
      </c>
      <c r="D36" s="266">
        <f t="shared" ref="D36:J36" si="0">SUM(D9:D35)</f>
        <v>0</v>
      </c>
      <c r="E36" s="389">
        <f>SUM(E9:E35)</f>
        <v>382319193785</v>
      </c>
      <c r="F36" s="266">
        <f t="shared" si="0"/>
        <v>0</v>
      </c>
      <c r="G36" s="389">
        <f>SUM(G9:G35)</f>
        <v>398716739742</v>
      </c>
      <c r="H36" s="266">
        <f t="shared" si="0"/>
        <v>0</v>
      </c>
      <c r="I36" s="389">
        <f>SUM(I9:I35)</f>
        <v>232595396793</v>
      </c>
      <c r="J36" s="266">
        <f t="shared" si="0"/>
        <v>0</v>
      </c>
      <c r="K36" s="267">
        <f>SUM(K9:K35)</f>
        <v>0.15076278958150607</v>
      </c>
    </row>
    <row r="37" spans="1:11" ht="15.75" thickTop="1"/>
  </sheetData>
  <mergeCells count="13">
    <mergeCell ref="E6:G6"/>
    <mergeCell ref="A1:K1"/>
    <mergeCell ref="A2:K2"/>
    <mergeCell ref="A3:K3"/>
    <mergeCell ref="K7:K8"/>
    <mergeCell ref="A4:K4"/>
    <mergeCell ref="I7:I8"/>
    <mergeCell ref="J7:J8"/>
    <mergeCell ref="A7:A8"/>
    <mergeCell ref="B7:B8"/>
    <mergeCell ref="C7:C8"/>
    <mergeCell ref="E7:E8"/>
    <mergeCell ref="G7:G8"/>
  </mergeCells>
  <phoneticPr fontId="52" type="noConversion"/>
  <pageMargins left="0.25" right="0.25" top="0.75" bottom="0.75" header="0.3" footer="0.3"/>
  <pageSetup paperSize="9" fitToHeight="0" orientation="landscape" r:id="rId1"/>
  <rowBreaks count="1" manualBreakCount="1">
    <brk id="36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4" tint="0.79998168889431442"/>
    <pageSetUpPr fitToPage="1"/>
  </sheetPr>
  <dimension ref="A1:N38"/>
  <sheetViews>
    <sheetView rightToLeft="1" view="pageBreakPreview" zoomScaleNormal="100" zoomScaleSheetLayoutView="100" workbookViewId="0">
      <selection activeCell="E9" sqref="E9"/>
    </sheetView>
  </sheetViews>
  <sheetFormatPr defaultColWidth="9.140625" defaultRowHeight="18"/>
  <cols>
    <col min="1" max="1" width="69.5703125" style="159" bestFit="1" customWidth="1"/>
    <col min="2" max="2" width="1" style="159" customWidth="1"/>
    <col min="3" max="3" width="10.85546875" style="7" bestFit="1" customWidth="1"/>
    <col min="4" max="4" width="1.140625" style="7" customWidth="1"/>
    <col min="5" max="5" width="25.28515625" style="81" bestFit="1" customWidth="1"/>
    <col min="6" max="6" width="1" style="7" customWidth="1"/>
    <col min="7" max="7" width="19.7109375" style="7" customWidth="1"/>
    <col min="8" max="8" width="0.42578125" style="7" customWidth="1"/>
    <col min="9" max="9" width="24.5703125" style="7" customWidth="1"/>
    <col min="10" max="10" width="21.28515625" style="246" bestFit="1" customWidth="1"/>
    <col min="11" max="11" width="21.140625" style="246" bestFit="1" customWidth="1"/>
    <col min="12" max="12" width="22" style="7" bestFit="1" customWidth="1"/>
    <col min="13" max="14" width="13.5703125" style="7" bestFit="1" customWidth="1"/>
    <col min="15" max="16384" width="9.140625" style="7"/>
  </cols>
  <sheetData>
    <row r="1" spans="1:14" ht="21">
      <c r="A1" s="320" t="s">
        <v>84</v>
      </c>
      <c r="B1" s="320"/>
      <c r="C1" s="320"/>
      <c r="D1" s="320"/>
      <c r="E1" s="320"/>
      <c r="F1" s="320"/>
      <c r="G1" s="320"/>
      <c r="H1" s="320"/>
      <c r="I1" s="320"/>
      <c r="J1" s="233"/>
      <c r="K1" s="233"/>
    </row>
    <row r="2" spans="1:14" ht="21">
      <c r="A2" s="320" t="s">
        <v>47</v>
      </c>
      <c r="B2" s="320"/>
      <c r="C2" s="320"/>
      <c r="D2" s="320"/>
      <c r="E2" s="320"/>
      <c r="F2" s="320"/>
      <c r="G2" s="320"/>
      <c r="H2" s="320"/>
      <c r="I2" s="320"/>
      <c r="J2" s="241"/>
      <c r="K2" s="233"/>
    </row>
    <row r="3" spans="1:14" ht="21.75" thickBot="1">
      <c r="A3" s="320" t="str">
        <f>سپرده!A3</f>
        <v>برای ماه منتهی به 1403/07/30</v>
      </c>
      <c r="B3" s="320"/>
      <c r="C3" s="320"/>
      <c r="D3" s="320"/>
      <c r="E3" s="320"/>
      <c r="F3" s="320"/>
      <c r="G3" s="320"/>
      <c r="H3" s="320"/>
      <c r="I3" s="320"/>
      <c r="J3" s="242"/>
      <c r="K3" s="242"/>
    </row>
    <row r="4" spans="1:14" ht="21.75" thickBot="1">
      <c r="A4" s="145" t="s">
        <v>25</v>
      </c>
      <c r="B4" s="146"/>
      <c r="C4" s="146"/>
      <c r="D4" s="146"/>
      <c r="E4" s="146"/>
      <c r="F4" s="146"/>
      <c r="G4" s="146"/>
      <c r="H4" s="146"/>
      <c r="I4" s="146"/>
      <c r="J4" s="280">
        <v>635841877596</v>
      </c>
      <c r="K4" s="278" t="s">
        <v>83</v>
      </c>
      <c r="M4" s="147"/>
    </row>
    <row r="5" spans="1:14" ht="21.75" customHeight="1" thickBot="1">
      <c r="A5" s="145"/>
      <c r="B5" s="145"/>
      <c r="C5" s="145"/>
      <c r="D5" s="145"/>
      <c r="E5" s="332" t="s">
        <v>316</v>
      </c>
      <c r="F5" s="332"/>
      <c r="G5" s="332"/>
      <c r="H5" s="332"/>
      <c r="I5" s="332"/>
      <c r="J5" s="280">
        <v>1542790481913</v>
      </c>
      <c r="K5" s="279" t="s">
        <v>96</v>
      </c>
    </row>
    <row r="6" spans="1:14" ht="21.75" customHeight="1" thickBot="1">
      <c r="A6" s="148" t="s">
        <v>35</v>
      </c>
      <c r="B6" s="149"/>
      <c r="C6" s="150" t="s">
        <v>36</v>
      </c>
      <c r="D6" s="142"/>
      <c r="E6" s="151" t="s">
        <v>6</v>
      </c>
      <c r="F6" s="142"/>
      <c r="G6" s="150" t="s">
        <v>17</v>
      </c>
      <c r="H6" s="142"/>
      <c r="I6" s="150" t="s">
        <v>82</v>
      </c>
      <c r="J6" s="186"/>
      <c r="K6" s="187"/>
    </row>
    <row r="7" spans="1:14" ht="21" customHeight="1">
      <c r="A7" s="152" t="s">
        <v>112</v>
      </c>
      <c r="B7" s="152"/>
      <c r="C7" s="153" t="s">
        <v>49</v>
      </c>
      <c r="D7" s="146"/>
      <c r="E7" s="154">
        <v>0</v>
      </c>
      <c r="F7" s="146"/>
      <c r="G7" s="217">
        <f>E7/$E$11</f>
        <v>0</v>
      </c>
      <c r="H7" s="155"/>
      <c r="I7" s="218">
        <f>E7/$J$5</f>
        <v>0</v>
      </c>
      <c r="J7" s="188"/>
      <c r="K7" s="243"/>
      <c r="L7" s="156"/>
      <c r="M7" s="163"/>
    </row>
    <row r="8" spans="1:14" ht="18.75" customHeight="1">
      <c r="A8" s="152" t="s">
        <v>44</v>
      </c>
      <c r="B8" s="152"/>
      <c r="C8" s="153" t="s">
        <v>50</v>
      </c>
      <c r="D8" s="146"/>
      <c r="E8" s="154">
        <f>'درآمد سرمایه گذاری در اوراق بها'!Q20</f>
        <v>387069381922</v>
      </c>
      <c r="F8" s="146"/>
      <c r="G8" s="217">
        <f t="shared" ref="G8:G10" si="0">E8/$E$11</f>
        <v>0.61497947290510857</v>
      </c>
      <c r="H8" s="155"/>
      <c r="I8" s="218">
        <f t="shared" ref="I8:I10" si="1">E8/$J$5</f>
        <v>0.25088914305593141</v>
      </c>
      <c r="J8" s="156"/>
      <c r="K8" s="156"/>
      <c r="L8" s="156"/>
      <c r="M8" s="162"/>
      <c r="N8" s="162"/>
    </row>
    <row r="9" spans="1:14" ht="18.75" customHeight="1">
      <c r="A9" s="152" t="s">
        <v>45</v>
      </c>
      <c r="B9" s="152"/>
      <c r="C9" s="153" t="s">
        <v>51</v>
      </c>
      <c r="D9" s="146"/>
      <c r="E9" s="154">
        <f>'سود سپرده بانکی'!N121</f>
        <v>242319622986.21573</v>
      </c>
      <c r="F9" s="146"/>
      <c r="G9" s="217">
        <f t="shared" si="0"/>
        <v>0.38499969508995563</v>
      </c>
      <c r="H9" s="155"/>
      <c r="I9" s="218">
        <f t="shared" si="1"/>
        <v>0.15706580110978444</v>
      </c>
      <c r="J9" s="156"/>
      <c r="K9" s="156"/>
      <c r="L9" s="156"/>
      <c r="M9" s="162"/>
    </row>
    <row r="10" spans="1:14" ht="19.5" customHeight="1" thickBot="1">
      <c r="A10" s="152" t="s">
        <v>30</v>
      </c>
      <c r="B10" s="152"/>
      <c r="C10" s="153" t="s">
        <v>52</v>
      </c>
      <c r="D10" s="146"/>
      <c r="E10" s="286">
        <f>'سایر درآمدها'!E9</f>
        <v>13111708</v>
      </c>
      <c r="F10" s="146"/>
      <c r="G10" s="217">
        <f t="shared" si="0"/>
        <v>2.0832004935876306E-5</v>
      </c>
      <c r="H10" s="155"/>
      <c r="I10" s="218">
        <f t="shared" si="1"/>
        <v>8.4986964553618406E-6</v>
      </c>
      <c r="J10" s="156"/>
      <c r="K10" s="156"/>
      <c r="L10" s="156"/>
    </row>
    <row r="11" spans="1:14" ht="19.5" customHeight="1" thickBot="1">
      <c r="A11" s="152" t="s">
        <v>2</v>
      </c>
      <c r="B11" s="157"/>
      <c r="C11" s="135"/>
      <c r="D11" s="135"/>
      <c r="E11" s="158">
        <f>SUM(E7:E10)</f>
        <v>629402116616.2157</v>
      </c>
      <c r="F11" s="135"/>
      <c r="G11" s="219">
        <f>SUM(G7:G10)</f>
        <v>1.0000000000000002</v>
      </c>
      <c r="H11" s="220"/>
      <c r="I11" s="221">
        <f>SUM(I7:I10)</f>
        <v>0.40796344286217123</v>
      </c>
      <c r="J11" s="156"/>
      <c r="K11" s="156"/>
      <c r="L11" s="156"/>
    </row>
    <row r="12" spans="1:14" ht="18.75" customHeight="1" thickTop="1">
      <c r="J12" s="156"/>
      <c r="K12" s="156"/>
      <c r="L12" s="156"/>
    </row>
    <row r="13" spans="1:14" ht="18" customHeight="1">
      <c r="E13" s="200"/>
      <c r="F13" s="161"/>
      <c r="G13" s="161"/>
      <c r="I13" s="162"/>
      <c r="J13" s="156"/>
      <c r="K13" s="156"/>
      <c r="L13" s="156"/>
    </row>
    <row r="14" spans="1:14" ht="18" customHeight="1">
      <c r="E14" s="200"/>
      <c r="F14" s="161"/>
      <c r="G14" s="161"/>
      <c r="J14" s="156"/>
      <c r="K14" s="156"/>
      <c r="L14" s="156"/>
    </row>
    <row r="15" spans="1:14" ht="18" customHeight="1">
      <c r="E15" s="163"/>
      <c r="F15" s="161"/>
      <c r="G15" s="161"/>
      <c r="H15" s="161"/>
      <c r="J15" s="245"/>
      <c r="K15" s="156"/>
      <c r="L15" s="156"/>
      <c r="M15" s="156"/>
    </row>
    <row r="16" spans="1:14" ht="18" customHeight="1">
      <c r="E16" s="164"/>
      <c r="F16" s="161"/>
      <c r="G16" s="161"/>
      <c r="I16" s="162"/>
      <c r="J16" s="165"/>
      <c r="K16" s="165"/>
    </row>
    <row r="17" spans="2:11" ht="17.45" customHeight="1">
      <c r="B17" s="259">
        <v>-356455</v>
      </c>
      <c r="E17" s="161"/>
      <c r="F17" s="161"/>
      <c r="G17" s="161"/>
      <c r="I17" s="162"/>
      <c r="J17" s="165"/>
      <c r="K17" s="165"/>
    </row>
    <row r="18" spans="2:11" ht="17.45" customHeight="1">
      <c r="B18" s="259">
        <v>-205678</v>
      </c>
      <c r="E18" s="161"/>
      <c r="F18" s="161"/>
      <c r="G18" s="161"/>
      <c r="K18" s="247"/>
    </row>
    <row r="19" spans="2:11" ht="17.45" customHeight="1">
      <c r="B19" s="259">
        <v>-566700</v>
      </c>
      <c r="E19" s="161"/>
      <c r="K19" s="247"/>
    </row>
    <row r="20" spans="2:11">
      <c r="B20" s="259">
        <v>-13277232</v>
      </c>
      <c r="C20" s="160"/>
      <c r="E20" s="160"/>
      <c r="G20" s="160"/>
      <c r="J20" s="244"/>
      <c r="K20" s="247"/>
    </row>
    <row r="21" spans="2:11">
      <c r="B21" s="259">
        <v>-44132676</v>
      </c>
      <c r="C21" s="163"/>
      <c r="G21" s="160"/>
      <c r="J21" s="244"/>
      <c r="K21" s="247"/>
    </row>
    <row r="22" spans="2:11">
      <c r="B22" s="259">
        <v>-669467</v>
      </c>
      <c r="G22" s="160"/>
      <c r="K22" s="247"/>
    </row>
    <row r="23" spans="2:11">
      <c r="B23" s="259">
        <v>-278224</v>
      </c>
      <c r="G23" s="163"/>
      <c r="K23" s="247"/>
    </row>
    <row r="24" spans="2:11">
      <c r="B24" s="259">
        <v>-2331466</v>
      </c>
      <c r="K24" s="247"/>
    </row>
    <row r="25" spans="2:11">
      <c r="B25" s="259">
        <v>-17573113</v>
      </c>
      <c r="K25" s="247"/>
    </row>
    <row r="26" spans="2:11">
      <c r="B26" s="259">
        <v>-1408954</v>
      </c>
      <c r="K26" s="247"/>
    </row>
    <row r="27" spans="2:11" ht="18.75" customHeight="1">
      <c r="B27" s="259">
        <v>-1015178</v>
      </c>
      <c r="K27" s="247"/>
    </row>
    <row r="28" spans="2:11">
      <c r="B28" s="259">
        <v>-14498169</v>
      </c>
      <c r="K28" s="247"/>
    </row>
    <row r="29" spans="2:11">
      <c r="B29" s="259">
        <v>-470772</v>
      </c>
      <c r="K29" s="247"/>
    </row>
    <row r="30" spans="2:11">
      <c r="B30" s="259">
        <v>-854039</v>
      </c>
      <c r="K30" s="247"/>
    </row>
    <row r="31" spans="2:11">
      <c r="B31" s="259">
        <v>-2219417</v>
      </c>
      <c r="K31" s="247"/>
    </row>
    <row r="32" spans="2:11">
      <c r="B32" s="259">
        <v>-3940834</v>
      </c>
      <c r="K32" s="247"/>
    </row>
    <row r="33" spans="11:11">
      <c r="K33" s="247"/>
    </row>
    <row r="34" spans="11:11">
      <c r="K34" s="247"/>
    </row>
    <row r="36" spans="11:11" ht="18.75" customHeight="1"/>
    <row r="37" spans="11:11" ht="17.45" customHeight="1"/>
    <row r="38" spans="11:11" ht="17.45" customHeight="1"/>
  </sheetData>
  <mergeCells count="4">
    <mergeCell ref="E5:I5"/>
    <mergeCell ref="A1:I1"/>
    <mergeCell ref="A2:I2"/>
    <mergeCell ref="A3:I3"/>
  </mergeCells>
  <pageMargins left="0.25" right="0.25" top="0.75" bottom="0.75" header="0.3" footer="0.3"/>
  <pageSetup paperSize="9" scale="92" fitToHeight="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theme="4" tint="0.79998168889431442"/>
    <pageSetUpPr fitToPage="1"/>
  </sheetPr>
  <dimension ref="A1:U20"/>
  <sheetViews>
    <sheetView rightToLeft="1" view="pageBreakPreview" zoomScale="55" zoomScaleNormal="100" zoomScaleSheetLayoutView="55" workbookViewId="0">
      <selection activeCell="A11" sqref="A11"/>
    </sheetView>
  </sheetViews>
  <sheetFormatPr defaultColWidth="9.140625" defaultRowHeight="15"/>
  <cols>
    <col min="1" max="1" width="49.85546875" style="38" customWidth="1"/>
    <col min="2" max="2" width="1.28515625" style="38" customWidth="1"/>
    <col min="3" max="3" width="26.5703125" style="45" customWidth="1"/>
    <col min="4" max="4" width="1" style="38" customWidth="1"/>
    <col min="5" max="5" width="28.42578125" style="46" customWidth="1"/>
    <col min="6" max="6" width="1.42578125" style="46" customWidth="1"/>
    <col min="7" max="7" width="26.5703125" style="46" customWidth="1"/>
    <col min="8" max="8" width="1" style="47" customWidth="1"/>
    <col min="9" max="9" width="28.42578125" style="47" customWidth="1"/>
    <col min="10" max="10" width="2" style="47" customWidth="1"/>
    <col min="11" max="11" width="28.5703125" style="48" customWidth="1"/>
    <col min="12" max="12" width="1.5703125" style="38" customWidth="1"/>
    <col min="13" max="13" width="28.42578125" style="45" bestFit="1" customWidth="1"/>
    <col min="14" max="14" width="0.85546875" style="45" customWidth="1"/>
    <col min="15" max="15" width="28.42578125" style="46" bestFit="1" customWidth="1"/>
    <col min="16" max="16" width="0.85546875" style="46" customWidth="1"/>
    <col min="17" max="17" width="28.42578125" style="46" bestFit="1" customWidth="1"/>
    <col min="18" max="18" width="0.85546875" style="46" customWidth="1"/>
    <col min="19" max="19" width="27.140625" style="46" customWidth="1"/>
    <col min="20" max="20" width="1.42578125" style="46" customWidth="1"/>
    <col min="21" max="21" width="29.85546875" style="48" customWidth="1"/>
    <col min="22" max="16384" width="9.140625" style="38"/>
  </cols>
  <sheetData>
    <row r="1" spans="1:21" ht="27.75">
      <c r="A1" s="333" t="s">
        <v>84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</row>
    <row r="2" spans="1:21" ht="27.75">
      <c r="A2" s="333" t="s">
        <v>53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  <c r="R2" s="333"/>
      <c r="S2" s="333"/>
      <c r="T2" s="333"/>
      <c r="U2" s="333"/>
    </row>
    <row r="3" spans="1:21" ht="27.75">
      <c r="A3" s="333" t="str">
        <f>' سهام'!A3:W3</f>
        <v>برای ماه منتهی به 1403/07/30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  <c r="R3" s="333"/>
      <c r="S3" s="333"/>
      <c r="T3" s="333"/>
      <c r="U3" s="333"/>
    </row>
    <row r="5" spans="1:21" s="39" customFormat="1" ht="27.75">
      <c r="A5" s="306" t="s">
        <v>26</v>
      </c>
      <c r="B5" s="306"/>
      <c r="C5" s="306"/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  <c r="U5" s="306"/>
    </row>
    <row r="6" spans="1:21" s="39" customFormat="1" ht="9.75" customHeight="1">
      <c r="C6" s="35"/>
      <c r="E6" s="40"/>
      <c r="F6" s="40"/>
      <c r="G6" s="40"/>
      <c r="H6" s="41"/>
      <c r="I6" s="41"/>
      <c r="J6" s="41"/>
      <c r="K6" s="42"/>
      <c r="M6" s="35"/>
      <c r="N6" s="35"/>
      <c r="O6" s="40"/>
      <c r="P6" s="40"/>
      <c r="Q6" s="40"/>
      <c r="R6" s="40"/>
      <c r="S6" s="40"/>
      <c r="T6" s="40"/>
      <c r="U6" s="42"/>
    </row>
    <row r="7" spans="1:21" s="39" customFormat="1" ht="27" customHeight="1" thickBot="1">
      <c r="A7" s="43"/>
      <c r="B7" s="9"/>
      <c r="C7" s="339" t="s">
        <v>299</v>
      </c>
      <c r="D7" s="339"/>
      <c r="E7" s="339"/>
      <c r="F7" s="339"/>
      <c r="G7" s="339"/>
      <c r="H7" s="339"/>
      <c r="I7" s="339"/>
      <c r="J7" s="339"/>
      <c r="K7" s="339"/>
      <c r="L7" s="9"/>
      <c r="M7" s="339" t="s">
        <v>300</v>
      </c>
      <c r="N7" s="339"/>
      <c r="O7" s="339"/>
      <c r="P7" s="339"/>
      <c r="Q7" s="339"/>
      <c r="R7" s="339"/>
      <c r="S7" s="339"/>
      <c r="T7" s="339"/>
      <c r="U7" s="339"/>
    </row>
    <row r="8" spans="1:21" s="19" customFormat="1" ht="24.75" customHeight="1">
      <c r="A8" s="348" t="s">
        <v>22</v>
      </c>
      <c r="B8" s="348"/>
      <c r="C8" s="334" t="s">
        <v>10</v>
      </c>
      <c r="D8" s="350"/>
      <c r="E8" s="336" t="s">
        <v>11</v>
      </c>
      <c r="F8" s="343"/>
      <c r="G8" s="336" t="s">
        <v>12</v>
      </c>
      <c r="H8" s="346"/>
      <c r="I8" s="338" t="s">
        <v>2</v>
      </c>
      <c r="J8" s="338"/>
      <c r="K8" s="338"/>
      <c r="L8" s="348"/>
      <c r="M8" s="334" t="s">
        <v>10</v>
      </c>
      <c r="N8" s="340"/>
      <c r="O8" s="336" t="s">
        <v>11</v>
      </c>
      <c r="P8" s="343"/>
      <c r="Q8" s="336" t="s">
        <v>12</v>
      </c>
      <c r="R8" s="343"/>
      <c r="S8" s="338" t="s">
        <v>2</v>
      </c>
      <c r="T8" s="338"/>
      <c r="U8" s="338"/>
    </row>
    <row r="9" spans="1:21" s="19" customFormat="1" ht="6" customHeight="1" thickBot="1">
      <c r="A9" s="348"/>
      <c r="B9" s="348"/>
      <c r="C9" s="335"/>
      <c r="D9" s="348"/>
      <c r="E9" s="337"/>
      <c r="F9" s="344"/>
      <c r="G9" s="337"/>
      <c r="H9" s="347"/>
      <c r="I9" s="339"/>
      <c r="J9" s="339"/>
      <c r="K9" s="339"/>
      <c r="L9" s="348"/>
      <c r="M9" s="335"/>
      <c r="N9" s="341"/>
      <c r="O9" s="337"/>
      <c r="P9" s="344"/>
      <c r="Q9" s="337"/>
      <c r="R9" s="344"/>
      <c r="S9" s="339"/>
      <c r="T9" s="339"/>
      <c r="U9" s="339"/>
    </row>
    <row r="10" spans="1:21" s="19" customFormat="1" ht="42.75" customHeight="1" thickBot="1">
      <c r="A10" s="349"/>
      <c r="B10" s="348"/>
      <c r="C10" s="50" t="s">
        <v>56</v>
      </c>
      <c r="D10" s="348"/>
      <c r="E10" s="51" t="s">
        <v>57</v>
      </c>
      <c r="F10" s="345"/>
      <c r="G10" s="51" t="s">
        <v>58</v>
      </c>
      <c r="H10" s="347"/>
      <c r="I10" s="10" t="s">
        <v>6</v>
      </c>
      <c r="J10" s="10"/>
      <c r="K10" s="49" t="s">
        <v>17</v>
      </c>
      <c r="L10" s="348"/>
      <c r="M10" s="50" t="s">
        <v>56</v>
      </c>
      <c r="N10" s="342"/>
      <c r="O10" s="51" t="s">
        <v>57</v>
      </c>
      <c r="P10" s="345"/>
      <c r="Q10" s="51" t="s">
        <v>58</v>
      </c>
      <c r="R10" s="345"/>
      <c r="S10" s="11" t="s">
        <v>6</v>
      </c>
      <c r="T10" s="11"/>
      <c r="U10" s="49" t="s">
        <v>17</v>
      </c>
    </row>
    <row r="11" spans="1:21" s="20" customFormat="1" ht="30.75">
      <c r="A11" s="61" t="s">
        <v>86</v>
      </c>
      <c r="C11" s="30">
        <v>0</v>
      </c>
      <c r="D11" s="30"/>
      <c r="E11" s="30">
        <v>0</v>
      </c>
      <c r="F11" s="30"/>
      <c r="G11" s="30">
        <v>0</v>
      </c>
      <c r="H11" s="30"/>
      <c r="I11" s="24">
        <f>C11+E11+G11</f>
        <v>0</v>
      </c>
      <c r="K11" s="58">
        <v>0</v>
      </c>
      <c r="M11" s="30">
        <v>0</v>
      </c>
      <c r="N11" s="24"/>
      <c r="O11" s="24">
        <v>0</v>
      </c>
      <c r="P11" s="24"/>
      <c r="Q11" s="24">
        <v>0</v>
      </c>
      <c r="R11" s="24"/>
      <c r="S11" s="24">
        <f>M11+O11+Q11</f>
        <v>0</v>
      </c>
      <c r="T11" s="6"/>
      <c r="U11" s="58"/>
    </row>
    <row r="12" spans="1:21" s="44" customFormat="1" ht="25.5" customHeight="1" thickBot="1">
      <c r="C12" s="36">
        <f>SUM(C11:C11)</f>
        <v>0</v>
      </c>
      <c r="D12" s="59">
        <v>0</v>
      </c>
      <c r="E12" s="36">
        <f>SUM(E11:E11)</f>
        <v>0</v>
      </c>
      <c r="F12" s="59">
        <v>0</v>
      </c>
      <c r="G12" s="36">
        <f>SUM(G11:G11)</f>
        <v>0</v>
      </c>
      <c r="H12" s="59">
        <v>0</v>
      </c>
      <c r="I12" s="36">
        <f>SUM(I11:I11)</f>
        <v>0</v>
      </c>
      <c r="J12" s="37">
        <v>0</v>
      </c>
      <c r="K12" s="57">
        <f>SUM(K11:K11)</f>
        <v>0</v>
      </c>
      <c r="M12" s="36">
        <f>SUM(M11:M11)</f>
        <v>0</v>
      </c>
      <c r="N12" s="24"/>
      <c r="O12" s="36">
        <f>SUM(O11:O11)</f>
        <v>0</v>
      </c>
      <c r="P12" s="24"/>
      <c r="Q12" s="36">
        <f>SUM(Q11:Q11)</f>
        <v>0</v>
      </c>
      <c r="R12" s="24"/>
      <c r="S12" s="36">
        <f>SUM(S11:S11)</f>
        <v>0</v>
      </c>
      <c r="T12" s="37"/>
      <c r="U12" s="57">
        <f>SUM(U11:U11)</f>
        <v>0</v>
      </c>
    </row>
    <row r="13" spans="1:21" ht="25.5" customHeight="1" thickTop="1">
      <c r="D13" s="24">
        <v>0</v>
      </c>
      <c r="F13" s="24">
        <v>0</v>
      </c>
      <c r="H13" s="24">
        <v>0</v>
      </c>
      <c r="J13" s="6">
        <v>0</v>
      </c>
      <c r="L13" s="20"/>
      <c r="N13" s="24"/>
      <c r="O13" s="47"/>
      <c r="P13" s="24"/>
      <c r="Q13" s="47"/>
      <c r="R13" s="24"/>
      <c r="S13" s="47"/>
      <c r="T13" s="47"/>
    </row>
    <row r="14" spans="1:21" s="53" customFormat="1" ht="33"/>
    <row r="15" spans="1:21" s="53" customFormat="1" ht="33"/>
    <row r="16" spans="1:21" s="53" customFormat="1" ht="33"/>
    <row r="20" spans="4:8" ht="33">
      <c r="D20" s="54"/>
      <c r="E20" s="55"/>
      <c r="F20" s="55"/>
      <c r="G20" s="55"/>
      <c r="H20" s="56"/>
    </row>
  </sheetData>
  <autoFilter ref="A10:U10" xr:uid="{00000000-0009-0000-0000-00000A000000}">
    <sortState xmlns:xlrd2="http://schemas.microsoft.com/office/spreadsheetml/2017/richdata2" ref="A13:U53">
      <sortCondition descending="1" ref="S10"/>
    </sortState>
  </autoFilter>
  <mergeCells count="23">
    <mergeCell ref="M7:U7"/>
    <mergeCell ref="C7:K7"/>
    <mergeCell ref="L8:L10"/>
    <mergeCell ref="A8:A10"/>
    <mergeCell ref="B8:B10"/>
    <mergeCell ref="D8:D10"/>
    <mergeCell ref="F8:F10"/>
    <mergeCell ref="A1:U1"/>
    <mergeCell ref="A2:U2"/>
    <mergeCell ref="A3:U3"/>
    <mergeCell ref="C8:C9"/>
    <mergeCell ref="E8:E9"/>
    <mergeCell ref="G8:G9"/>
    <mergeCell ref="M8:M9"/>
    <mergeCell ref="O8:O9"/>
    <mergeCell ref="Q8:Q9"/>
    <mergeCell ref="I8:K9"/>
    <mergeCell ref="S8:U9"/>
    <mergeCell ref="A5:U5"/>
    <mergeCell ref="N8:N10"/>
    <mergeCell ref="P8:P10"/>
    <mergeCell ref="R8:R10"/>
    <mergeCell ref="H8:H10"/>
  </mergeCells>
  <printOptions horizontalCentered="1"/>
  <pageMargins left="0.25" right="0.25" top="0.75" bottom="0.75" header="0.3" footer="0.3"/>
  <pageSetup paperSize="9" scale="4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theme="4" tint="0.79998168889431442"/>
    <pageSetUpPr fitToPage="1"/>
  </sheetPr>
  <dimension ref="A1:Q21"/>
  <sheetViews>
    <sheetView rightToLeft="1" view="pageBreakPreview" zoomScale="85" zoomScaleNormal="100" zoomScaleSheetLayoutView="85" workbookViewId="0">
      <selection activeCell="K15" sqref="K15"/>
    </sheetView>
  </sheetViews>
  <sheetFormatPr defaultColWidth="9.140625" defaultRowHeight="21.75"/>
  <cols>
    <col min="1" max="1" width="34.42578125" style="108" bestFit="1" customWidth="1"/>
    <col min="2" max="2" width="0.42578125" style="108" customWidth="1"/>
    <col min="3" max="3" width="21.140625" style="108" bestFit="1" customWidth="1"/>
    <col min="4" max="4" width="0.7109375" style="108" customWidth="1"/>
    <col min="5" max="5" width="20" style="108" bestFit="1" customWidth="1"/>
    <col min="6" max="6" width="0.5703125" style="108" customWidth="1"/>
    <col min="7" max="7" width="21" style="108" customWidth="1"/>
    <col min="8" max="8" width="0.5703125" style="108" customWidth="1"/>
    <col min="9" max="9" width="22.85546875" style="108" bestFit="1" customWidth="1"/>
    <col min="10" max="10" width="0.42578125" style="108" customWidth="1"/>
    <col min="11" max="11" width="22.85546875" style="108" bestFit="1" customWidth="1"/>
    <col min="12" max="12" width="0.5703125" style="108" customWidth="1"/>
    <col min="13" max="13" width="21.140625" style="108" bestFit="1" customWidth="1"/>
    <col min="14" max="14" width="0.85546875" style="108" customWidth="1"/>
    <col min="15" max="15" width="21.140625" style="108" bestFit="1" customWidth="1"/>
    <col min="16" max="16" width="0.5703125" style="108" customWidth="1"/>
    <col min="17" max="17" width="22.85546875" style="108" bestFit="1" customWidth="1"/>
    <col min="18" max="18" width="9.140625" style="108"/>
    <col min="19" max="19" width="12.7109375" style="108" bestFit="1" customWidth="1"/>
    <col min="20" max="16384" width="9.140625" style="108"/>
  </cols>
  <sheetData>
    <row r="1" spans="1:17" ht="21" customHeight="1">
      <c r="A1" s="351" t="s">
        <v>84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</row>
    <row r="2" spans="1:17" ht="21.75" customHeight="1">
      <c r="A2" s="351" t="s">
        <v>53</v>
      </c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51"/>
      <c r="Q2" s="351"/>
    </row>
    <row r="3" spans="1:17" ht="23.25" customHeight="1">
      <c r="A3" s="351" t="str">
        <f>' سهام'!A3:W3</f>
        <v>برای ماه منتهی به 1403/07/30</v>
      </c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1"/>
    </row>
    <row r="4" spans="1:17">
      <c r="A4" s="323" t="s">
        <v>27</v>
      </c>
      <c r="B4" s="323"/>
      <c r="C4" s="323"/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323"/>
      <c r="O4" s="323"/>
      <c r="P4" s="323"/>
      <c r="Q4" s="323"/>
    </row>
    <row r="5" spans="1:17" ht="4.5" customHeight="1">
      <c r="A5" s="135"/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</row>
    <row r="6" spans="1:17" ht="22.5" customHeight="1" thickBot="1">
      <c r="A6" s="173"/>
      <c r="B6" s="174"/>
      <c r="C6" s="354" t="s">
        <v>299</v>
      </c>
      <c r="D6" s="354"/>
      <c r="E6" s="354"/>
      <c r="F6" s="354"/>
      <c r="G6" s="354"/>
      <c r="H6" s="354"/>
      <c r="I6" s="354"/>
      <c r="J6" s="139"/>
      <c r="K6" s="354" t="s">
        <v>300</v>
      </c>
      <c r="L6" s="354"/>
      <c r="M6" s="354"/>
      <c r="N6" s="354"/>
      <c r="O6" s="354"/>
      <c r="P6" s="354"/>
      <c r="Q6" s="354"/>
    </row>
    <row r="7" spans="1:17" ht="15.75" customHeight="1">
      <c r="A7" s="355"/>
      <c r="B7" s="356"/>
      <c r="C7" s="352" t="s">
        <v>13</v>
      </c>
      <c r="D7" s="352"/>
      <c r="E7" s="352" t="s">
        <v>11</v>
      </c>
      <c r="F7" s="355"/>
      <c r="G7" s="352" t="s">
        <v>12</v>
      </c>
      <c r="H7" s="355"/>
      <c r="I7" s="352" t="s">
        <v>2</v>
      </c>
      <c r="J7" s="175"/>
      <c r="K7" s="352" t="s">
        <v>13</v>
      </c>
      <c r="L7" s="352"/>
      <c r="M7" s="352" t="s">
        <v>11</v>
      </c>
      <c r="N7" s="355"/>
      <c r="O7" s="352" t="s">
        <v>12</v>
      </c>
      <c r="P7" s="355"/>
      <c r="Q7" s="352" t="s">
        <v>2</v>
      </c>
    </row>
    <row r="8" spans="1:17" ht="12" customHeight="1">
      <c r="A8" s="356"/>
      <c r="B8" s="356"/>
      <c r="C8" s="353"/>
      <c r="D8" s="353"/>
      <c r="E8" s="353"/>
      <c r="F8" s="356"/>
      <c r="G8" s="353"/>
      <c r="H8" s="356"/>
      <c r="I8" s="353"/>
      <c r="J8" s="175"/>
      <c r="K8" s="353"/>
      <c r="L8" s="353"/>
      <c r="M8" s="353"/>
      <c r="N8" s="356"/>
      <c r="O8" s="353"/>
      <c r="P8" s="356"/>
      <c r="Q8" s="353"/>
    </row>
    <row r="9" spans="1:17" ht="20.25" customHeight="1" thickBot="1">
      <c r="A9" s="356"/>
      <c r="B9" s="356"/>
      <c r="C9" s="176" t="s">
        <v>61</v>
      </c>
      <c r="D9" s="353"/>
      <c r="E9" s="176" t="s">
        <v>57</v>
      </c>
      <c r="F9" s="356"/>
      <c r="G9" s="176" t="s">
        <v>58</v>
      </c>
      <c r="H9" s="356"/>
      <c r="I9" s="354"/>
      <c r="J9" s="177"/>
      <c r="K9" s="176" t="s">
        <v>61</v>
      </c>
      <c r="L9" s="353"/>
      <c r="M9" s="176" t="s">
        <v>57</v>
      </c>
      <c r="N9" s="356"/>
      <c r="O9" s="176" t="s">
        <v>58</v>
      </c>
      <c r="P9" s="356"/>
      <c r="Q9" s="354"/>
    </row>
    <row r="10" spans="1:17" ht="27.75" customHeight="1">
      <c r="A10" s="139" t="s">
        <v>162</v>
      </c>
      <c r="B10" s="139"/>
      <c r="C10" s="71">
        <f>IFERROR(VLOOKUP(A10,'سود اوراق بهادار'!$A$7:$Q$12,11,0),0)</f>
        <v>0</v>
      </c>
      <c r="D10" s="175"/>
      <c r="E10" s="71">
        <f>IFERROR(VLOOKUP(A10,'درآمد ناشی از تغییر قیمت اوراق '!$A$7:$Q$11,9,0),0)</f>
        <v>-25403881559</v>
      </c>
      <c r="F10" s="139"/>
      <c r="G10" s="71">
        <f>IFERROR(VLOOKUP(A10,'درآمد ناشی ازفروش'!$A$7:$Q$15,9,0),0)</f>
        <v>28107273061</v>
      </c>
      <c r="H10" s="139"/>
      <c r="I10" s="71">
        <f>G10+E10+C10</f>
        <v>2703391502</v>
      </c>
      <c r="J10" s="177"/>
      <c r="K10" s="71">
        <f>IFERROR(VLOOKUP(A10,'سود اوراق بهادار'!$A$7:$Q$12,17,0),0)</f>
        <v>0</v>
      </c>
      <c r="L10" s="175"/>
      <c r="M10" s="71">
        <f>IFERROR(VLOOKUP(A10,'درآمد ناشی از تغییر قیمت اوراق '!$A$7:$Q$11,17,0),0)</f>
        <v>0</v>
      </c>
      <c r="N10" s="139"/>
      <c r="O10" s="71">
        <f>IFERROR(VLOOKUP(A10,'درآمد ناشی ازفروش'!$A$7:$Q$15,17,0),0)</f>
        <v>39924603636</v>
      </c>
      <c r="P10" s="139"/>
      <c r="Q10" s="71">
        <f>K10+M10+O10</f>
        <v>39924603636</v>
      </c>
    </row>
    <row r="11" spans="1:17" ht="27.75" customHeight="1">
      <c r="A11" s="139" t="s">
        <v>163</v>
      </c>
      <c r="B11" s="139"/>
      <c r="C11" s="71">
        <f>IFERROR(VLOOKUP(A11,'سود اوراق بهادار'!$A$7:$Q$12,11,0),0)</f>
        <v>0</v>
      </c>
      <c r="D11" s="175"/>
      <c r="E11" s="71">
        <f>IFERROR(VLOOKUP(A11,'درآمد ناشی از تغییر قیمت اوراق '!$A$7:$Q$11,9,0),0)</f>
        <v>0</v>
      </c>
      <c r="F11" s="139"/>
      <c r="G11" s="71">
        <f>IFERROR(VLOOKUP(A11,'درآمد ناشی ازفروش'!$A$7:$Q$15,9,0),0)</f>
        <v>0</v>
      </c>
      <c r="H11" s="139"/>
      <c r="I11" s="71">
        <f t="shared" ref="I11:I19" si="0">G11+E11+C11</f>
        <v>0</v>
      </c>
      <c r="J11" s="177"/>
      <c r="K11" s="71">
        <f>IFERROR(VLOOKUP(A11,'سود اوراق بهادار'!$A$7:$Q$12,17,0),0)</f>
        <v>0</v>
      </c>
      <c r="L11" s="175"/>
      <c r="M11" s="71">
        <f>IFERROR(VLOOKUP(A11,'درآمد ناشی از تغییر قیمت اوراق '!$A$7:$Q$11,17,0),0)</f>
        <v>0</v>
      </c>
      <c r="N11" s="139"/>
      <c r="O11" s="71">
        <f>IFERROR(VLOOKUP(A11,'درآمد ناشی ازفروش'!$A$7:$Q$15,17,0),0)</f>
        <v>26923583029</v>
      </c>
      <c r="P11" s="139"/>
      <c r="Q11" s="71">
        <f t="shared" ref="Q11:Q19" si="1">K11+M11+O11</f>
        <v>26923583029</v>
      </c>
    </row>
    <row r="12" spans="1:17" ht="27.75" customHeight="1">
      <c r="A12" s="139" t="s">
        <v>138</v>
      </c>
      <c r="B12" s="139"/>
      <c r="C12" s="71">
        <f>IFERROR(VLOOKUP(A12,'سود اوراق بهادار'!$A$7:$Q$12,11,0),0)</f>
        <v>0</v>
      </c>
      <c r="D12" s="175"/>
      <c r="E12" s="71">
        <f>IFERROR(VLOOKUP(A12,'درآمد ناشی از تغییر قیمت اوراق '!$A$7:$Q$11,9,0),0)</f>
        <v>0</v>
      </c>
      <c r="F12" s="139"/>
      <c r="G12" s="71">
        <f>IFERROR(VLOOKUP(A12,'درآمد ناشی ازفروش'!$A$7:$Q$15,9,0),0)</f>
        <v>0</v>
      </c>
      <c r="H12" s="139"/>
      <c r="I12" s="71">
        <f t="shared" si="0"/>
        <v>0</v>
      </c>
      <c r="J12" s="177"/>
      <c r="K12" s="71">
        <f>IFERROR(VLOOKUP(A12,'سود اوراق بهادار'!$A$7:$Q$12,17,0),0)</f>
        <v>0</v>
      </c>
      <c r="L12" s="175"/>
      <c r="M12" s="71">
        <f>IFERROR(VLOOKUP(A12,'درآمد ناشی از تغییر قیمت اوراق '!$A$7:$Q$11,17,0),0)</f>
        <v>0</v>
      </c>
      <c r="N12" s="139"/>
      <c r="O12" s="71">
        <f>IFERROR(VLOOKUP(A12,'درآمد ناشی ازفروش'!$A$7:$Q$15,17,0),0)</f>
        <v>3006759337</v>
      </c>
      <c r="P12" s="139"/>
      <c r="Q12" s="71">
        <f t="shared" si="1"/>
        <v>3006759337</v>
      </c>
    </row>
    <row r="13" spans="1:17" ht="27.75" customHeight="1">
      <c r="A13" s="139" t="s">
        <v>117</v>
      </c>
      <c r="B13" s="139"/>
      <c r="C13" s="71">
        <f>IFERROR(VLOOKUP(A13,'سود اوراق بهادار'!$A$7:$Q$12,11,0),0)</f>
        <v>0</v>
      </c>
      <c r="D13" s="175"/>
      <c r="E13" s="71">
        <f>IFERROR(VLOOKUP(A13,'درآمد ناشی از تغییر قیمت اوراق '!$A$7:$Q$11,9,0),0)</f>
        <v>0</v>
      </c>
      <c r="F13" s="139"/>
      <c r="G13" s="71">
        <f>IFERROR(VLOOKUP(A13,'درآمد ناشی ازفروش'!$A$7:$Q$15,9,0),0)</f>
        <v>0</v>
      </c>
      <c r="H13" s="139"/>
      <c r="I13" s="71">
        <f t="shared" si="0"/>
        <v>0</v>
      </c>
      <c r="J13" s="177"/>
      <c r="K13" s="71">
        <f>IFERROR(VLOOKUP(A13,'سود اوراق بهادار'!$A$7:$Q$12,17,0),0)</f>
        <v>760435788</v>
      </c>
      <c r="L13" s="175"/>
      <c r="M13" s="71">
        <f>IFERROR(VLOOKUP(A13,'درآمد ناشی از تغییر قیمت اوراق '!$A$7:$Q$11,17,0),0)</f>
        <v>0</v>
      </c>
      <c r="N13" s="139"/>
      <c r="O13" s="71">
        <f>IFERROR(VLOOKUP(A13,'درآمد ناشی ازفروش'!$A$7:$Q$15,17,0),0)</f>
        <v>-123385340</v>
      </c>
      <c r="P13" s="139"/>
      <c r="Q13" s="71">
        <f t="shared" si="1"/>
        <v>637050448</v>
      </c>
    </row>
    <row r="14" spans="1:17" ht="27.75" customHeight="1">
      <c r="A14" s="139" t="s">
        <v>195</v>
      </c>
      <c r="B14" s="139"/>
      <c r="C14" s="71">
        <f>IFERROR(VLOOKUP(A14,'سود اوراق بهادار'!$A$7:$Q$12,11,0),0)</f>
        <v>0</v>
      </c>
      <c r="D14" s="175"/>
      <c r="E14" s="71">
        <f>IFERROR(VLOOKUP(A14,'درآمد ناشی از تغییر قیمت اوراق '!$A$7:$Q$11,9,0),0)</f>
        <v>271832973</v>
      </c>
      <c r="F14" s="139"/>
      <c r="G14" s="71">
        <f>IFERROR(VLOOKUP(A14,'درآمد ناشی ازفروش'!$A$7:$Q$15,9,0),0)</f>
        <v>0</v>
      </c>
      <c r="H14" s="139"/>
      <c r="I14" s="71">
        <f t="shared" si="0"/>
        <v>271832973</v>
      </c>
      <c r="J14" s="177"/>
      <c r="K14" s="71">
        <f>IFERROR(VLOOKUP(A14,'سود اوراق بهادار'!$A$7:$Q$12,17,0),0)</f>
        <v>0</v>
      </c>
      <c r="L14" s="175"/>
      <c r="M14" s="71">
        <f>IFERROR(VLOOKUP(A14,'درآمد ناشی از تغییر قیمت اوراق '!$A$7:$Q$11,17,0),0)</f>
        <v>3075693873</v>
      </c>
      <c r="N14" s="139"/>
      <c r="O14" s="71">
        <f>IFERROR(VLOOKUP(A14,'درآمد ناشی ازفروش'!$A$7:$Q$15,17,0),0)</f>
        <v>0</v>
      </c>
      <c r="P14" s="139"/>
      <c r="Q14" s="71">
        <f t="shared" si="1"/>
        <v>3075693873</v>
      </c>
    </row>
    <row r="15" spans="1:17" ht="27.75" customHeight="1">
      <c r="A15" s="139" t="s">
        <v>125</v>
      </c>
      <c r="B15" s="139"/>
      <c r="C15" s="71">
        <f>IFERROR(VLOOKUP(A15,'سود اوراق بهادار'!$A$7:$Q$12,11,0),0)</f>
        <v>6438003099</v>
      </c>
      <c r="D15" s="175"/>
      <c r="E15" s="71">
        <f>IFERROR(VLOOKUP(A15,'درآمد ناشی از تغییر قیمت اوراق '!$A$7:$Q$11,9,0),0)</f>
        <v>151912463</v>
      </c>
      <c r="F15" s="139"/>
      <c r="G15" s="71">
        <f>IFERROR(VLOOKUP(A15,'درآمد ناشی ازفروش'!$A$7:$Q$15,9,0),0)</f>
        <v>0</v>
      </c>
      <c r="H15" s="139"/>
      <c r="I15" s="71">
        <f t="shared" si="0"/>
        <v>6589915562</v>
      </c>
      <c r="J15" s="177"/>
      <c r="K15" s="71">
        <f>IFERROR(VLOOKUP(A15,'سود اوراق بهادار'!$A$7:$Q$12,17,0),0)</f>
        <v>63928546163</v>
      </c>
      <c r="L15" s="175"/>
      <c r="M15" s="71">
        <f>IFERROR(VLOOKUP(A15,'درآمد ناشی از تغییر قیمت اوراق '!$A$7:$Q$11,17,0),0)</f>
        <v>1056998387</v>
      </c>
      <c r="N15" s="139"/>
      <c r="O15" s="71">
        <f>IFERROR(VLOOKUP(A15,'درآمد ناشی ازفروش'!$A$7:$Q$15,17,0),0)</f>
        <v>-1010445125</v>
      </c>
      <c r="P15" s="139"/>
      <c r="Q15" s="71">
        <f t="shared" si="1"/>
        <v>63975099425</v>
      </c>
    </row>
    <row r="16" spans="1:17" ht="27.75" customHeight="1">
      <c r="A16" s="139" t="s">
        <v>139</v>
      </c>
      <c r="B16" s="139"/>
      <c r="C16" s="71">
        <f>IFERROR(VLOOKUP(A16,'سود اوراق بهادار'!$A$7:$Q$12,11,0),0)</f>
        <v>0</v>
      </c>
      <c r="D16" s="175"/>
      <c r="E16" s="71">
        <f>IFERROR(VLOOKUP(A16,'درآمد ناشی از تغییر قیمت اوراق '!$A$7:$Q$11,9,0),0)</f>
        <v>0</v>
      </c>
      <c r="F16" s="139"/>
      <c r="G16" s="71">
        <f>IFERROR(VLOOKUP(A16,'درآمد ناشی ازفروش'!$A$7:$Q$15,9,0),0)</f>
        <v>0</v>
      </c>
      <c r="H16" s="139"/>
      <c r="I16" s="71">
        <f t="shared" si="0"/>
        <v>0</v>
      </c>
      <c r="J16" s="177"/>
      <c r="K16" s="71">
        <f>IFERROR(VLOOKUP(A16,'سود اوراق بهادار'!$A$7:$Q$12,17,0),0)</f>
        <v>8269843927</v>
      </c>
      <c r="L16" s="175"/>
      <c r="M16" s="71">
        <f>IFERROR(VLOOKUP(A16,'درآمد ناشی از تغییر قیمت اوراق '!$A$7:$Q$11,17,0),0)</f>
        <v>0</v>
      </c>
      <c r="N16" s="139"/>
      <c r="O16" s="71">
        <f>IFERROR(VLOOKUP(A16,'درآمد ناشی ازفروش'!$A$7:$Q$15,17,0),0)</f>
        <v>-78000000</v>
      </c>
      <c r="P16" s="139"/>
      <c r="Q16" s="71">
        <f t="shared" si="1"/>
        <v>8191843927</v>
      </c>
    </row>
    <row r="17" spans="1:17" ht="27.75" customHeight="1">
      <c r="A17" s="139" t="s">
        <v>118</v>
      </c>
      <c r="B17" s="139"/>
      <c r="C17" s="71">
        <f>IFERROR(VLOOKUP(A17,'سود اوراق بهادار'!$A$7:$Q$12,11,0),0)</f>
        <v>0</v>
      </c>
      <c r="D17" s="175"/>
      <c r="E17" s="71">
        <f>IFERROR(VLOOKUP(A17,'درآمد ناشی از تغییر قیمت اوراق '!$A$7:$Q$11,9,0),0)</f>
        <v>0</v>
      </c>
      <c r="F17" s="139"/>
      <c r="G17" s="71">
        <f>IFERROR(VLOOKUP(A17,'درآمد ناشی ازفروش'!$A$7:$Q$15,9,0),0)</f>
        <v>0</v>
      </c>
      <c r="H17" s="139"/>
      <c r="I17" s="71">
        <f t="shared" si="0"/>
        <v>0</v>
      </c>
      <c r="J17" s="177"/>
      <c r="K17" s="71">
        <f>IFERROR(VLOOKUP(A17,'سود اوراق بهادار'!$A$7:$Q$12,17,0),0)</f>
        <v>38098063699</v>
      </c>
      <c r="L17" s="175"/>
      <c r="M17" s="71">
        <f>IFERROR(VLOOKUP(A17,'درآمد ناشی از تغییر قیمت اوراق '!$A$7:$Q$11,17,0),0)</f>
        <v>0</v>
      </c>
      <c r="N17" s="139"/>
      <c r="O17" s="71">
        <f>IFERROR(VLOOKUP(A17,'درآمد ناشی ازفروش'!$A$7:$Q$15,17,0),0)</f>
        <v>19836866289</v>
      </c>
      <c r="P17" s="139"/>
      <c r="Q17" s="71">
        <f t="shared" si="1"/>
        <v>57934929988</v>
      </c>
    </row>
    <row r="18" spans="1:17" ht="27.75" customHeight="1">
      <c r="A18" s="139" t="s">
        <v>104</v>
      </c>
      <c r="B18" s="139"/>
      <c r="C18" s="71">
        <f>IFERROR(VLOOKUP(A18,'سود اوراق بهادار'!$A$7:$Q$12,11,0),0)</f>
        <v>5081393497</v>
      </c>
      <c r="D18" s="175"/>
      <c r="E18" s="71">
        <f>IFERROR(VLOOKUP(A18,'درآمد ناشی از تغییر قیمت اوراق '!$A$7:$Q$11,9,0),0)</f>
        <v>-865448109</v>
      </c>
      <c r="F18" s="139"/>
      <c r="G18" s="71">
        <f>IFERROR(VLOOKUP(A18,'درآمد ناشی ازفروش'!$A$7:$Q$15,9,0),0)</f>
        <v>0</v>
      </c>
      <c r="H18" s="139"/>
      <c r="I18" s="71">
        <f t="shared" si="0"/>
        <v>4215945388</v>
      </c>
      <c r="J18" s="177"/>
      <c r="K18" s="71">
        <f>IFERROR(VLOOKUP(A18,'سود اوراق بهادار'!$A$7:$Q$12,17,0),0)</f>
        <v>56349192437</v>
      </c>
      <c r="L18" s="175"/>
      <c r="M18" s="71">
        <f>IFERROR(VLOOKUP(A18,'درآمد ناشی از تغییر قیمت اوراق '!$A$7:$Q$11,17,0),0)</f>
        <v>13861312184</v>
      </c>
      <c r="N18" s="139"/>
      <c r="O18" s="71">
        <f>IFERROR(VLOOKUP(A18,'درآمد ناشی ازفروش'!$A$7:$Q$15,17,0),0)</f>
        <v>3876077656</v>
      </c>
      <c r="P18" s="139"/>
      <c r="Q18" s="71">
        <f t="shared" si="1"/>
        <v>74086582277</v>
      </c>
    </row>
    <row r="19" spans="1:17" ht="27.75" customHeight="1">
      <c r="A19" s="139" t="s">
        <v>196</v>
      </c>
      <c r="B19" s="139"/>
      <c r="C19" s="71">
        <f>IFERROR(VLOOKUP(A19,'سود اوراق بهادار'!$A$7:$Q$12,11,0),0)</f>
        <v>14507217770</v>
      </c>
      <c r="D19" s="175"/>
      <c r="E19" s="71">
        <f>IFERROR(VLOOKUP(A19,'درآمد ناشی از تغییر قیمت اوراق '!$A$7:$Q$11,9,0),0)</f>
        <v>0</v>
      </c>
      <c r="F19" s="139"/>
      <c r="G19" s="71">
        <f>IFERROR(VLOOKUP(A19,'درآمد ناشی ازفروش'!$A$7:$Q$15,9,0),0)</f>
        <v>0</v>
      </c>
      <c r="H19" s="139"/>
      <c r="I19" s="71">
        <f t="shared" si="0"/>
        <v>14507217770</v>
      </c>
      <c r="J19" s="177"/>
      <c r="K19" s="71">
        <f>IFERROR(VLOOKUP(A19,'سود اوراق بهادار'!$A$7:$Q$12,17,0),0)</f>
        <v>109463985982</v>
      </c>
      <c r="L19" s="175"/>
      <c r="M19" s="71">
        <f>IFERROR(VLOOKUP(A19,'درآمد ناشی از تغییر قیمت اوراق '!$A$7:$Q$11,17,0),0)</f>
        <v>-94250000</v>
      </c>
      <c r="N19" s="139"/>
      <c r="O19" s="71">
        <f>IFERROR(VLOOKUP(A19,'درآمد ناشی ازفروش'!$A$7:$Q$15,17,0),0)</f>
        <v>-56500000</v>
      </c>
      <c r="P19" s="139"/>
      <c r="Q19" s="71">
        <f t="shared" si="1"/>
        <v>109313235982</v>
      </c>
    </row>
    <row r="20" spans="1:17" ht="29.25" customHeight="1" thickBot="1">
      <c r="A20" s="265" t="s">
        <v>2</v>
      </c>
      <c r="B20" s="178"/>
      <c r="C20" s="390">
        <f>SUM(C10:C19)</f>
        <v>26026614366</v>
      </c>
      <c r="D20" s="391" t="e">
        <f>SUM(#REF!)</f>
        <v>#REF!</v>
      </c>
      <c r="E20" s="390">
        <f>SUM(E10:E19)</f>
        <v>-25845584232</v>
      </c>
      <c r="F20" s="391" t="e">
        <f>SUM(#REF!)</f>
        <v>#REF!</v>
      </c>
      <c r="G20" s="390">
        <f>SUM(G10:G19)</f>
        <v>28107273061</v>
      </c>
      <c r="H20" s="391" t="e">
        <f>SUM(#REF!)</f>
        <v>#REF!</v>
      </c>
      <c r="I20" s="390">
        <f>SUM(I10:I19)</f>
        <v>28288303195</v>
      </c>
      <c r="J20" s="391" t="e">
        <f>SUM(#REF!)</f>
        <v>#REF!</v>
      </c>
      <c r="K20" s="390">
        <f>SUM(K10:K19)</f>
        <v>276870067996</v>
      </c>
      <c r="L20" s="391" t="e">
        <f>SUM(#REF!)</f>
        <v>#REF!</v>
      </c>
      <c r="M20" s="390">
        <f>SUM(M10:M19)</f>
        <v>17899754444</v>
      </c>
      <c r="N20" s="391" t="e">
        <f>SUM(#REF!)</f>
        <v>#REF!</v>
      </c>
      <c r="O20" s="390">
        <f>SUM(O10:O19)</f>
        <v>92299559482</v>
      </c>
      <c r="P20" s="391" t="e">
        <f>SUM(#REF!)</f>
        <v>#REF!</v>
      </c>
      <c r="Q20" s="390">
        <f>SUM(Q10:Q19)</f>
        <v>387069381922</v>
      </c>
    </row>
    <row r="21" spans="1:17" ht="22.5" thickTop="1">
      <c r="A21" s="135"/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</row>
  </sheetData>
  <autoFilter ref="A9:Q9" xr:uid="{00000000-0009-0000-0000-00000B000000}"/>
  <mergeCells count="22">
    <mergeCell ref="A7:A9"/>
    <mergeCell ref="B7:B9"/>
    <mergeCell ref="D7:D9"/>
    <mergeCell ref="Q7:Q9"/>
    <mergeCell ref="I7:I9"/>
    <mergeCell ref="P7:P9"/>
    <mergeCell ref="A1:Q1"/>
    <mergeCell ref="A2:Q2"/>
    <mergeCell ref="A3:Q3"/>
    <mergeCell ref="C7:C8"/>
    <mergeCell ref="E7:E8"/>
    <mergeCell ref="G7:G8"/>
    <mergeCell ref="K7:K8"/>
    <mergeCell ref="M7:M8"/>
    <mergeCell ref="O7:O8"/>
    <mergeCell ref="A4:Q4"/>
    <mergeCell ref="C6:I6"/>
    <mergeCell ref="K6:Q6"/>
    <mergeCell ref="L7:L9"/>
    <mergeCell ref="N7:N9"/>
    <mergeCell ref="F7:F9"/>
    <mergeCell ref="H7:H9"/>
  </mergeCells>
  <pageMargins left="0.25" right="0.25" top="0.75" bottom="0.75" header="0.3" footer="0.3"/>
  <pageSetup paperSize="9" scale="6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0A9D6-4C85-4EAC-8EB0-A20717998716}">
  <dimension ref="A1:AH61"/>
  <sheetViews>
    <sheetView rightToLeft="1" view="pageBreakPreview" zoomScale="60" zoomScaleNormal="100" workbookViewId="0">
      <selection activeCell="K57" sqref="K57"/>
    </sheetView>
  </sheetViews>
  <sheetFormatPr defaultRowHeight="15"/>
  <cols>
    <col min="1" max="1" width="17.7109375" bestFit="1" customWidth="1"/>
    <col min="2" max="2" width="18.28515625" bestFit="1" customWidth="1"/>
    <col min="3" max="3" width="7.5703125" bestFit="1" customWidth="1"/>
    <col min="4" max="4" width="5.85546875" bestFit="1" customWidth="1"/>
    <col min="5" max="5" width="11" bestFit="1" customWidth="1"/>
    <col min="6" max="6" width="16.28515625" bestFit="1" customWidth="1"/>
    <col min="7" max="7" width="5.42578125" bestFit="1" customWidth="1"/>
    <col min="8" max="8" width="16.85546875" bestFit="1" customWidth="1"/>
  </cols>
  <sheetData>
    <row r="1" spans="1:17" ht="21">
      <c r="A1" s="360" t="s">
        <v>217</v>
      </c>
      <c r="B1" s="360"/>
      <c r="C1" s="360"/>
      <c r="D1" s="360"/>
      <c r="E1" s="360"/>
      <c r="F1" s="360"/>
      <c r="G1" s="360"/>
      <c r="H1" s="360"/>
      <c r="I1" s="234"/>
      <c r="J1" s="234"/>
      <c r="K1" s="234"/>
      <c r="L1" s="234"/>
      <c r="M1" s="234"/>
      <c r="N1" s="234"/>
      <c r="O1" s="234"/>
      <c r="P1" s="234"/>
      <c r="Q1" s="234"/>
    </row>
    <row r="2" spans="1:17" ht="21">
      <c r="A2" s="360" t="s">
        <v>53</v>
      </c>
      <c r="B2" s="360"/>
      <c r="C2" s="360"/>
      <c r="D2" s="360"/>
      <c r="E2" s="360"/>
      <c r="F2" s="360"/>
      <c r="G2" s="360"/>
      <c r="H2" s="360"/>
      <c r="I2" s="234"/>
      <c r="J2" s="234"/>
      <c r="K2" s="234"/>
      <c r="L2" s="234"/>
      <c r="M2" s="234"/>
      <c r="N2" s="234"/>
      <c r="O2" s="234"/>
      <c r="P2" s="234"/>
      <c r="Q2" s="234"/>
    </row>
    <row r="3" spans="1:17" ht="21">
      <c r="A3" s="360" t="s">
        <v>218</v>
      </c>
      <c r="B3" s="360"/>
      <c r="C3" s="360"/>
      <c r="D3" s="360"/>
      <c r="E3" s="360"/>
      <c r="F3" s="360"/>
      <c r="G3" s="360"/>
      <c r="H3" s="360"/>
      <c r="I3" s="234"/>
      <c r="J3" s="234"/>
      <c r="K3" s="234"/>
      <c r="L3" s="234"/>
      <c r="M3" s="234"/>
      <c r="N3" s="234"/>
      <c r="O3" s="234"/>
      <c r="P3" s="234"/>
      <c r="Q3" s="234"/>
    </row>
    <row r="5" spans="1:17" ht="25.5">
      <c r="A5" s="361" t="s">
        <v>219</v>
      </c>
      <c r="B5" s="361"/>
      <c r="C5" s="361"/>
      <c r="D5" s="361"/>
      <c r="E5" s="361"/>
      <c r="F5" s="361"/>
      <c r="G5" s="361"/>
      <c r="H5" s="361"/>
      <c r="I5" s="361"/>
      <c r="J5" s="361"/>
      <c r="K5" s="361"/>
      <c r="L5" s="361"/>
      <c r="M5" s="361"/>
      <c r="N5" s="361"/>
      <c r="O5" s="361"/>
      <c r="P5" s="361"/>
      <c r="Q5" s="361"/>
    </row>
    <row r="7" spans="1:17" ht="30">
      <c r="A7" s="235" t="s">
        <v>220</v>
      </c>
      <c r="B7" s="235" t="s">
        <v>221</v>
      </c>
      <c r="C7" s="235" t="s">
        <v>222</v>
      </c>
      <c r="D7" s="235" t="s">
        <v>223</v>
      </c>
      <c r="E7" s="235" t="s">
        <v>224</v>
      </c>
      <c r="F7" s="236" t="s">
        <v>225</v>
      </c>
      <c r="G7" s="235" t="s">
        <v>226</v>
      </c>
      <c r="H7" s="236" t="s">
        <v>227</v>
      </c>
    </row>
    <row r="8" spans="1:17" ht="17.25">
      <c r="A8" s="357" t="s">
        <v>228</v>
      </c>
      <c r="B8" s="358" t="s">
        <v>229</v>
      </c>
      <c r="C8" s="237" t="s">
        <v>230</v>
      </c>
      <c r="D8" s="237"/>
      <c r="E8" s="237"/>
      <c r="F8" s="237"/>
      <c r="G8" s="237"/>
      <c r="H8" s="237"/>
    </row>
    <row r="9" spans="1:17" ht="17.25">
      <c r="A9" s="357"/>
      <c r="B9" s="358"/>
      <c r="C9" s="237" t="s">
        <v>231</v>
      </c>
      <c r="D9" s="237"/>
      <c r="E9" s="237"/>
      <c r="F9" s="237"/>
      <c r="G9" s="237"/>
      <c r="H9" s="237"/>
    </row>
    <row r="10" spans="1:17" ht="17.25">
      <c r="A10" s="357" t="s">
        <v>228</v>
      </c>
      <c r="B10" s="358" t="s">
        <v>232</v>
      </c>
      <c r="C10" s="237" t="s">
        <v>230</v>
      </c>
      <c r="D10" s="237"/>
      <c r="E10" s="237"/>
      <c r="F10" s="237"/>
      <c r="G10" s="237"/>
      <c r="H10" s="237"/>
    </row>
    <row r="11" spans="1:17" ht="17.25">
      <c r="A11" s="357"/>
      <c r="B11" s="358"/>
      <c r="C11" s="237" t="s">
        <v>233</v>
      </c>
      <c r="D11" s="237"/>
      <c r="E11" s="237"/>
      <c r="F11" s="237"/>
      <c r="G11" s="237"/>
      <c r="H11" s="237"/>
    </row>
    <row r="12" spans="1:17" ht="57">
      <c r="A12" s="239" t="s">
        <v>234</v>
      </c>
      <c r="B12" s="238" t="s">
        <v>235</v>
      </c>
      <c r="C12" s="237" t="s">
        <v>236</v>
      </c>
      <c r="D12" s="237"/>
      <c r="E12" s="237"/>
      <c r="F12" s="237"/>
      <c r="G12" s="237"/>
      <c r="H12" s="237"/>
    </row>
    <row r="13" spans="1:17" ht="17.25">
      <c r="A13" s="357" t="s">
        <v>237</v>
      </c>
      <c r="B13" s="357" t="s">
        <v>237</v>
      </c>
      <c r="C13" s="237" t="s">
        <v>238</v>
      </c>
      <c r="D13" s="237"/>
      <c r="E13" s="237"/>
      <c r="F13" s="237"/>
      <c r="G13" s="237"/>
      <c r="H13" s="237"/>
    </row>
    <row r="14" spans="1:17" ht="17.25">
      <c r="A14" s="357"/>
      <c r="B14" s="357"/>
      <c r="C14" s="237" t="s">
        <v>239</v>
      </c>
      <c r="D14" s="237"/>
      <c r="E14" s="237"/>
      <c r="F14" s="237"/>
      <c r="G14" s="237"/>
      <c r="H14" s="237"/>
    </row>
    <row r="15" spans="1:17" ht="17.25">
      <c r="A15" s="357"/>
      <c r="B15" s="357"/>
      <c r="C15" s="237" t="s">
        <v>240</v>
      </c>
      <c r="D15" s="237"/>
      <c r="E15" s="237"/>
      <c r="F15" s="237"/>
      <c r="G15" s="237"/>
      <c r="H15" s="237"/>
    </row>
    <row r="16" spans="1:17" ht="17.25">
      <c r="A16" s="357"/>
      <c r="B16" s="357"/>
      <c r="C16" s="237" t="s">
        <v>241</v>
      </c>
      <c r="D16" s="237"/>
      <c r="E16" s="237"/>
      <c r="F16" s="237"/>
      <c r="G16" s="237"/>
      <c r="H16" s="237"/>
    </row>
    <row r="18" spans="1:6" ht="17.25">
      <c r="A18" s="359" t="s">
        <v>242</v>
      </c>
      <c r="B18" s="359"/>
      <c r="C18" s="359"/>
      <c r="D18" s="359"/>
      <c r="E18" s="359"/>
      <c r="F18" s="359"/>
    </row>
    <row r="28" spans="1:6">
      <c r="A28" t="s">
        <v>243</v>
      </c>
    </row>
    <row r="61" spans="34:34">
      <c r="AH61" t="s">
        <v>244</v>
      </c>
    </row>
  </sheetData>
  <mergeCells count="11">
    <mergeCell ref="A1:H1"/>
    <mergeCell ref="A2:H2"/>
    <mergeCell ref="A3:H3"/>
    <mergeCell ref="A5:Q5"/>
    <mergeCell ref="A8:A9"/>
    <mergeCell ref="B8:B9"/>
    <mergeCell ref="A10:A11"/>
    <mergeCell ref="B10:B11"/>
    <mergeCell ref="A13:A16"/>
    <mergeCell ref="B13:B16"/>
    <mergeCell ref="A18:F18"/>
  </mergeCells>
  <pageMargins left="0.7" right="0.7" top="0.75" bottom="0.75" header="0.3" footer="0.3"/>
  <pageSetup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23</vt:i4>
      </vt:variant>
    </vt:vector>
  </HeadingPairs>
  <TitlesOfParts>
    <vt:vector size="40" baseType="lpstr">
      <vt:lpstr>روکش</vt:lpstr>
      <vt:lpstr> سهام</vt:lpstr>
      <vt:lpstr>اوراق</vt:lpstr>
      <vt:lpstr>تعدیل اوراق</vt:lpstr>
      <vt:lpstr>سپرده</vt:lpstr>
      <vt:lpstr>درآمدها</vt:lpstr>
      <vt:lpstr>درآمد سرمایه گذاری در سهام </vt:lpstr>
      <vt:lpstr>درآمد سرمایه گذاری در اوراق بها</vt:lpstr>
      <vt:lpstr>مبالغ تخصیصی اوراق </vt:lpstr>
      <vt:lpstr>درآمد سپرده بانکی</vt:lpstr>
      <vt:lpstr>سود اوراق بهادار</vt:lpstr>
      <vt:lpstr>سود سپرده بانکی</vt:lpstr>
      <vt:lpstr>مبالغ تخصیصی اورراق </vt:lpstr>
      <vt:lpstr>سایر درآمدها</vt:lpstr>
      <vt:lpstr>درآمد سود سهام</vt:lpstr>
      <vt:lpstr>درآمد ناشی ازفروش</vt:lpstr>
      <vt:lpstr>درآمد ناشی از تغییر قیمت اوراق </vt:lpstr>
      <vt:lpstr>'سود اوراق بهادار'!A</vt:lpstr>
      <vt:lpstr>A</vt:lpstr>
      <vt:lpstr>' سهام'!Print_Area</vt:lpstr>
      <vt:lpstr>اوراق!Print_Area</vt:lpstr>
      <vt:lpstr>'تعدیل اوراق'!Print_Area</vt:lpstr>
      <vt:lpstr>'درآمد سپرده بانکی'!Print_Area</vt:lpstr>
      <vt:lpstr>'درآمد سرمایه گذاری در اوراق بها'!Print_Area</vt:lpstr>
      <vt:lpstr>'درآمد سرمایه گذاری در سهام '!Print_Area</vt:lpstr>
      <vt:lpstr>'درآمد سود سهام'!Print_Area</vt:lpstr>
      <vt:lpstr>'درآمد ناشی از تغییر قیمت اوراق '!Print_Area</vt:lpstr>
      <vt:lpstr>'درآمد ناشی ازفروش'!Print_Area</vt:lpstr>
      <vt:lpstr>درآمدها!Print_Area</vt:lpstr>
      <vt:lpstr>روکش!Print_Area</vt:lpstr>
      <vt:lpstr>'سایر درآمدها'!Print_Area</vt:lpstr>
      <vt:lpstr>سپرده!Print_Area</vt:lpstr>
      <vt:lpstr>'سود اوراق بهادار'!Print_Area</vt:lpstr>
      <vt:lpstr>'سود سپرده بانکی'!Print_Area</vt:lpstr>
      <vt:lpstr>'مبالغ تخصیصی اوراق '!Print_Area</vt:lpstr>
      <vt:lpstr>'مبالغ تخصیصی اورراق '!Print_Area</vt:lpstr>
      <vt:lpstr>' سهام'!Print_Titles</vt:lpstr>
      <vt:lpstr>'درآمد سرمایه گذاری در سهام '!Print_Titles</vt:lpstr>
      <vt:lpstr>'درآمد ناشی از تغییر قیمت اوراق '!Print_Titles</vt:lpstr>
      <vt:lpstr>'درآمد ناشی ازفروش'!Print_Titles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Akbar Iranshahi</dc:creator>
  <cp:lastModifiedBy>Samira Sabzi</cp:lastModifiedBy>
  <cp:lastPrinted>2024-06-29T13:13:56Z</cp:lastPrinted>
  <dcterms:created xsi:type="dcterms:W3CDTF">2017-11-22T14:26:20Z</dcterms:created>
  <dcterms:modified xsi:type="dcterms:W3CDTF">2024-10-30T04:21:39Z</dcterms:modified>
</cp:coreProperties>
</file>