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9\"/>
    </mc:Choice>
  </mc:AlternateContent>
  <xr:revisionPtr revIDLastSave="0" documentId="13_ncr:1_{22524C57-1B82-42FA-A93F-0257FF32C5B6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صندوق" sheetId="23" r:id="rId8"/>
    <sheet name="درآمد سرمایه گذاری در اوراق بها" sheetId="6" r:id="rId9"/>
    <sheet name="مبالغ تخصیصی اوراق " sheetId="20" state="hidden" r:id="rId10"/>
    <sheet name="درآمد سپرده بانکی" sheetId="7" r:id="rId11"/>
    <sheet name="سود اوراق بهادار" sheetId="21" r:id="rId12"/>
    <sheet name="سود سپرده بانکی" sheetId="13" r:id="rId13"/>
    <sheet name="مبالغ تخصیصی اورراق " sheetId="22" r:id="rId14"/>
    <sheet name="سایر درآمدها" sheetId="8" r:id="rId15"/>
    <sheet name="درآمد سود سهام" sheetId="18" r:id="rId16"/>
    <sheet name="درآمد ناشی ازفروش" sheetId="15" r:id="rId17"/>
    <sheet name="درآمد ناشی از تغییر قیمت اوراق " sheetId="14" r:id="rId18"/>
  </sheets>
  <externalReferences>
    <externalReference r:id="rId19"/>
  </externalReferences>
  <definedNames>
    <definedName name="_xlnm._FilterDatabase" localSheetId="1" hidden="1">' سهام'!$A$9:$W$9</definedName>
    <definedName name="_xlnm._FilterDatabase" localSheetId="10" hidden="1">'درآمد سپرده بانکی'!$A$7:$L$129</definedName>
    <definedName name="_xlnm._FilterDatabase" localSheetId="8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5" hidden="1">'درآمد سود سهام'!$A$7:$S$7</definedName>
    <definedName name="_xlnm._FilterDatabase" localSheetId="17" hidden="1">'درآمد ناشی از تغییر قیمت اوراق '!$A$6:$Q$6</definedName>
    <definedName name="_xlnm._FilterDatabase" localSheetId="16" hidden="1">'درآمد ناشی ازفروش'!$A$6:$Q$6</definedName>
    <definedName name="_xlnm._FilterDatabase" localSheetId="4" hidden="1">سپرده!$A$8:$K$44</definedName>
    <definedName name="_xlnm._FilterDatabase" localSheetId="11" hidden="1">'سود اوراق بهادار'!$A$6:$Q$13</definedName>
    <definedName name="_xlnm._FilterDatabase" localSheetId="12" hidden="1">'سود سپرده بانکی'!$A$6:$N$128</definedName>
    <definedName name="A" localSheetId="11">'سود اوراق بهادار'!$A$7:$Q$14</definedName>
    <definedName name="A">'سود سپرده بانکی'!$A$19:$N$128</definedName>
    <definedName name="_xlnm.Print_Area" localSheetId="1">' سهام'!$A$1:$W$12</definedName>
    <definedName name="_xlnm.Print_Area" localSheetId="2">اوراق!$A$1:$AG$14</definedName>
    <definedName name="_xlnm.Print_Area" localSheetId="3">'تعدیل اوراق'!$A$1:$M$13</definedName>
    <definedName name="_xlnm.Print_Area" localSheetId="10">'درآمد سپرده بانکی'!$A$1:$L$129</definedName>
    <definedName name="_xlnm.Print_Area" localSheetId="8">'درآمد سرمایه گذاری در اوراق بها'!$A$1:$Q$23</definedName>
    <definedName name="_xlnm.Print_Area" localSheetId="6">'درآمد سرمایه گذاری در سهام '!$A$1:$U$13</definedName>
    <definedName name="_xlnm.Print_Area" localSheetId="7">'درآمد سرمایه گذاری در صندوق'!$A$1:$S$13</definedName>
    <definedName name="_xlnm.Print_Area" localSheetId="15">'درآمد سود سهام'!$A$1:$S$11</definedName>
    <definedName name="_xlnm.Print_Area" localSheetId="17">'درآمد ناشی از تغییر قیمت اوراق '!$A$1:$Q$13</definedName>
    <definedName name="_xlnm.Print_Area" localSheetId="16">'درآمد ناشی ازفروش'!$A$1:$Q$19</definedName>
    <definedName name="_xlnm.Print_Area" localSheetId="5">درآمدها!$A$1:$I$12</definedName>
    <definedName name="_xlnm.Print_Area" localSheetId="0">روکش!$A$1:$I$36</definedName>
    <definedName name="_xlnm.Print_Area" localSheetId="14">'سایر درآمدها'!$A$1:$E$10</definedName>
    <definedName name="_xlnm.Print_Area" localSheetId="4">سپرده!$A$1:$K$45</definedName>
    <definedName name="_xlnm.Print_Area" localSheetId="11">'سود اوراق بهادار'!$A$1:$Q$15</definedName>
    <definedName name="_xlnm.Print_Area" localSheetId="12">'سود سپرده بانکی'!$A$1:$N$128</definedName>
    <definedName name="_xlnm.Print_Area" localSheetId="9">'مبالغ تخصیصی اوراق '!$A$1:$I$18</definedName>
    <definedName name="_xlnm.Print_Area" localSheetId="13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7">'درآمد ناشی از تغییر قیمت اوراق '!$5:$6</definedName>
    <definedName name="_xlnm.Print_Titles" localSheetId="16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3" l="1"/>
  <c r="D19" i="13" l="1"/>
  <c r="D55" i="13"/>
  <c r="N126" i="13"/>
  <c r="I126" i="7" s="1"/>
  <c r="N127" i="13"/>
  <c r="I127" i="7" s="1"/>
  <c r="H126" i="13"/>
  <c r="E126" i="7" s="1"/>
  <c r="H127" i="13"/>
  <c r="E127" i="7" s="1"/>
  <c r="N125" i="13"/>
  <c r="H125" i="13"/>
  <c r="I11" i="23" l="1"/>
  <c r="D12" i="23"/>
  <c r="E12" i="23"/>
  <c r="F12" i="23"/>
  <c r="G12" i="23"/>
  <c r="H12" i="23"/>
  <c r="I12" i="23"/>
  <c r="J12" i="23"/>
  <c r="K12" i="23"/>
  <c r="L12" i="23"/>
  <c r="M12" i="23"/>
  <c r="N12" i="23"/>
  <c r="O12" i="23"/>
  <c r="Q12" i="23"/>
  <c r="C12" i="23"/>
  <c r="K10" i="19"/>
  <c r="K11" i="19"/>
  <c r="K12" i="19"/>
  <c r="K9" i="19"/>
  <c r="G12" i="19"/>
  <c r="I12" i="19" s="1"/>
  <c r="G11" i="19"/>
  <c r="I11" i="19" s="1"/>
  <c r="G10" i="19"/>
  <c r="I10" i="19" s="1"/>
  <c r="G9" i="19"/>
  <c r="I9" i="19" s="1"/>
  <c r="C12" i="19"/>
  <c r="C11" i="19"/>
  <c r="C10" i="19"/>
  <c r="C9" i="19"/>
  <c r="O11" i="14"/>
  <c r="M11" i="14"/>
  <c r="G11" i="14"/>
  <c r="E11" i="14"/>
  <c r="O17" i="15"/>
  <c r="M17" i="15"/>
  <c r="G17" i="15"/>
  <c r="C9" i="8"/>
  <c r="E9" i="8"/>
  <c r="E11" i="11" s="1"/>
  <c r="I11" i="11" s="1"/>
  <c r="L128" i="13"/>
  <c r="F128" i="13"/>
  <c r="N9" i="13"/>
  <c r="N10" i="13"/>
  <c r="N11" i="13"/>
  <c r="N12" i="13"/>
  <c r="N13" i="13"/>
  <c r="N14" i="13"/>
  <c r="N15" i="13"/>
  <c r="N16" i="13"/>
  <c r="N17" i="13"/>
  <c r="N18" i="13"/>
  <c r="N20" i="13"/>
  <c r="N21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1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7" i="13"/>
  <c r="O14" i="21"/>
  <c r="M14" i="21"/>
  <c r="I14" i="21"/>
  <c r="G14" i="21"/>
  <c r="Q8" i="21"/>
  <c r="Q9" i="21"/>
  <c r="Q10" i="21"/>
  <c r="Q11" i="21"/>
  <c r="Q12" i="21"/>
  <c r="Q13" i="21"/>
  <c r="Q7" i="21"/>
  <c r="K8" i="21"/>
  <c r="K9" i="21"/>
  <c r="K10" i="21"/>
  <c r="K11" i="21"/>
  <c r="K12" i="21"/>
  <c r="K13" i="21"/>
  <c r="K7" i="21"/>
  <c r="I7" i="1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9" i="2"/>
  <c r="I44" i="2"/>
  <c r="G44" i="2"/>
  <c r="E44" i="2"/>
  <c r="C44" i="2"/>
  <c r="AG10" i="17"/>
  <c r="AG11" i="17"/>
  <c r="AG12" i="17"/>
  <c r="AG9" i="17"/>
  <c r="AE13" i="17"/>
  <c r="AC13" i="17"/>
  <c r="W13" i="17"/>
  <c r="T13" i="17"/>
  <c r="Q13" i="17"/>
  <c r="O13" i="17"/>
  <c r="M11" i="1"/>
  <c r="J11" i="1"/>
  <c r="Q14" i="21" l="1"/>
  <c r="K14" i="21"/>
  <c r="AG13" i="17"/>
  <c r="K44" i="2"/>
  <c r="M20" i="6"/>
  <c r="O21" i="6"/>
  <c r="G21" i="6"/>
  <c r="O11" i="6"/>
  <c r="E10" i="15" l="1"/>
  <c r="E11" i="15"/>
  <c r="E12" i="15"/>
  <c r="E13" i="15"/>
  <c r="E14" i="15"/>
  <c r="E15" i="15"/>
  <c r="E16" i="15"/>
  <c r="E9" i="15"/>
  <c r="E8" i="15"/>
  <c r="E17" i="15" l="1"/>
  <c r="E9" i="22"/>
  <c r="E8" i="22"/>
  <c r="D9" i="22"/>
  <c r="D8" i="22"/>
  <c r="N19" i="13"/>
  <c r="J124" i="13" l="1"/>
  <c r="N124" i="13" s="1"/>
  <c r="J92" i="13"/>
  <c r="N92" i="13" s="1"/>
  <c r="J90" i="13"/>
  <c r="N90" i="13" s="1"/>
  <c r="J8" i="13"/>
  <c r="J22" i="13"/>
  <c r="N22" i="13" s="1"/>
  <c r="J128" i="13" l="1"/>
  <c r="N8" i="13"/>
  <c r="N128" i="13" s="1"/>
  <c r="D128" i="13" l="1"/>
  <c r="H93" i="13" l="1"/>
  <c r="H128" i="13" s="1"/>
  <c r="E11" i="5"/>
  <c r="C11" i="5"/>
  <c r="Q11" i="5" s="1"/>
  <c r="M13" i="6"/>
  <c r="K13" i="6"/>
  <c r="M12" i="6"/>
  <c r="K12" i="6"/>
  <c r="M10" i="6"/>
  <c r="K10" i="6"/>
  <c r="E14" i="6"/>
  <c r="E13" i="6"/>
  <c r="C13" i="6"/>
  <c r="E12" i="6"/>
  <c r="C12" i="6"/>
  <c r="G11" i="6"/>
  <c r="E10" i="6"/>
  <c r="C10" i="6"/>
  <c r="I15" i="7"/>
  <c r="I14" i="7"/>
  <c r="I13" i="7"/>
  <c r="I12" i="7"/>
  <c r="I11" i="7"/>
  <c r="I10" i="7"/>
  <c r="I9" i="7"/>
  <c r="I8" i="7"/>
  <c r="E15" i="7"/>
  <c r="E14" i="7"/>
  <c r="E13" i="7"/>
  <c r="E12" i="7"/>
  <c r="E11" i="7"/>
  <c r="E10" i="7"/>
  <c r="E9" i="7"/>
  <c r="E8" i="7"/>
  <c r="M11" i="5" l="1"/>
  <c r="O11" i="5"/>
  <c r="S11" i="5" s="1"/>
  <c r="E17" i="7" l="1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25" i="7"/>
  <c r="E115" i="7"/>
  <c r="E116" i="7"/>
  <c r="E117" i="7"/>
  <c r="E118" i="7"/>
  <c r="E119" i="7"/>
  <c r="E120" i="7"/>
  <c r="E121" i="7"/>
  <c r="E122" i="7"/>
  <c r="E123" i="7"/>
  <c r="E124" i="7"/>
  <c r="E85" i="7"/>
  <c r="E128" i="7"/>
  <c r="V12" i="15" l="1"/>
  <c r="Q12" i="15"/>
  <c r="O15" i="6" s="1"/>
  <c r="I12" i="15"/>
  <c r="Y12" i="15" l="1"/>
  <c r="I10" i="14"/>
  <c r="E11" i="6" s="1"/>
  <c r="I9" i="14"/>
  <c r="M15" i="6" l="1"/>
  <c r="M18" i="6"/>
  <c r="E18" i="6"/>
  <c r="E17" i="6"/>
  <c r="E16" i="6"/>
  <c r="E15" i="6"/>
  <c r="C15" i="6"/>
  <c r="K15" i="6" l="1"/>
  <c r="Q15" i="6" s="1"/>
  <c r="A3" i="6" l="1"/>
  <c r="I13" i="15"/>
  <c r="I14" i="15" l="1"/>
  <c r="I15" i="15"/>
  <c r="I16" i="15"/>
  <c r="G12" i="6" s="1"/>
  <c r="I12" i="6" s="1"/>
  <c r="I8" i="15"/>
  <c r="I9" i="15"/>
  <c r="I10" i="15"/>
  <c r="G14" i="6" s="1"/>
  <c r="I11" i="15"/>
  <c r="G16" i="6" s="1"/>
  <c r="I7" i="15"/>
  <c r="G17" i="6" l="1"/>
  <c r="I17" i="15"/>
  <c r="G11" i="5"/>
  <c r="I11" i="5" s="1"/>
  <c r="G20" i="6"/>
  <c r="I20" i="6" s="1"/>
  <c r="G15" i="6"/>
  <c r="I15" i="6" s="1"/>
  <c r="G13" i="6"/>
  <c r="I13" i="6" s="1"/>
  <c r="G18" i="6"/>
  <c r="G10" i="6"/>
  <c r="G19" i="6"/>
  <c r="G22" i="6" l="1"/>
  <c r="I10" i="6"/>
  <c r="Q8" i="14"/>
  <c r="Q9" i="14"/>
  <c r="Q10" i="14"/>
  <c r="Q7" i="14"/>
  <c r="I8" i="14"/>
  <c r="I7" i="14"/>
  <c r="I11" i="14" s="1"/>
  <c r="I70" i="7"/>
  <c r="I69" i="7"/>
  <c r="I68" i="7"/>
  <c r="I67" i="7"/>
  <c r="I66" i="7"/>
  <c r="I65" i="7"/>
  <c r="I63" i="7"/>
  <c r="I120" i="7"/>
  <c r="I102" i="7"/>
  <c r="I64" i="7"/>
  <c r="I62" i="7"/>
  <c r="I61" i="7"/>
  <c r="I101" i="7"/>
  <c r="I100" i="7"/>
  <c r="I60" i="7"/>
  <c r="I121" i="7"/>
  <c r="I123" i="7"/>
  <c r="I59" i="7"/>
  <c r="I58" i="7"/>
  <c r="I57" i="7"/>
  <c r="I99" i="7"/>
  <c r="I98" i="7"/>
  <c r="I97" i="7"/>
  <c r="I96" i="7"/>
  <c r="I55" i="7"/>
  <c r="I113" i="7"/>
  <c r="I95" i="7"/>
  <c r="I56" i="7"/>
  <c r="I112" i="7"/>
  <c r="I94" i="7"/>
  <c r="I105" i="7"/>
  <c r="I93" i="7"/>
  <c r="I111" i="7"/>
  <c r="I54" i="7"/>
  <c r="I53" i="7"/>
  <c r="I52" i="7"/>
  <c r="I51" i="7"/>
  <c r="I75" i="7"/>
  <c r="I50" i="7"/>
  <c r="I92" i="7"/>
  <c r="I91" i="7"/>
  <c r="I110" i="7"/>
  <c r="I122" i="7"/>
  <c r="I119" i="7"/>
  <c r="I118" i="7"/>
  <c r="I46" i="7"/>
  <c r="I45" i="7"/>
  <c r="I44" i="7"/>
  <c r="I124" i="7"/>
  <c r="I49" i="7"/>
  <c r="I48" i="7"/>
  <c r="I47" i="7"/>
  <c r="I90" i="7"/>
  <c r="I117" i="7"/>
  <c r="I125" i="7"/>
  <c r="I42" i="7"/>
  <c r="I41" i="7"/>
  <c r="I88" i="7"/>
  <c r="I43" i="7"/>
  <c r="I40" i="7"/>
  <c r="I39" i="7"/>
  <c r="I38" i="7"/>
  <c r="I107" i="7"/>
  <c r="I37" i="7"/>
  <c r="I87" i="7"/>
  <c r="I86" i="7"/>
  <c r="I106" i="7"/>
  <c r="I36" i="7"/>
  <c r="I83" i="7"/>
  <c r="I35" i="7"/>
  <c r="I34" i="7"/>
  <c r="I82" i="7"/>
  <c r="I81" i="7"/>
  <c r="I109" i="7"/>
  <c r="I104" i="7"/>
  <c r="I116" i="7"/>
  <c r="I103" i="7"/>
  <c r="I25" i="7"/>
  <c r="I89" i="7"/>
  <c r="I33" i="7"/>
  <c r="I32" i="7"/>
  <c r="I31" i="7"/>
  <c r="I30" i="7"/>
  <c r="I29" i="7"/>
  <c r="I84" i="7"/>
  <c r="I80" i="7"/>
  <c r="I78" i="7"/>
  <c r="I77" i="7"/>
  <c r="I85" i="7"/>
  <c r="I76" i="7"/>
  <c r="I79" i="7"/>
  <c r="I74" i="7"/>
  <c r="I72" i="7"/>
  <c r="I114" i="7"/>
  <c r="I73" i="7"/>
  <c r="I108" i="7"/>
  <c r="I28" i="7"/>
  <c r="I26" i="7"/>
  <c r="I24" i="7"/>
  <c r="I23" i="7"/>
  <c r="I22" i="7"/>
  <c r="I21" i="7"/>
  <c r="I20" i="7"/>
  <c r="I19" i="7"/>
  <c r="I115" i="7"/>
  <c r="I71" i="7"/>
  <c r="I18" i="7"/>
  <c r="I17" i="7"/>
  <c r="I16" i="7"/>
  <c r="E16" i="7"/>
  <c r="K17" i="6"/>
  <c r="K11" i="6"/>
  <c r="C16" i="6"/>
  <c r="I16" i="6" s="1"/>
  <c r="C11" i="6"/>
  <c r="V17" i="15"/>
  <c r="V8" i="15"/>
  <c r="V10" i="15"/>
  <c r="V11" i="15"/>
  <c r="V13" i="15"/>
  <c r="V14" i="15"/>
  <c r="V15" i="15"/>
  <c r="V16" i="15"/>
  <c r="V9" i="15"/>
  <c r="U18" i="15"/>
  <c r="T18" i="15"/>
  <c r="S18" i="15"/>
  <c r="Q10" i="15"/>
  <c r="Q11" i="14" l="1"/>
  <c r="E129" i="7"/>
  <c r="I11" i="6"/>
  <c r="M14" i="6"/>
  <c r="M16" i="6"/>
  <c r="M17" i="6"/>
  <c r="M11" i="6"/>
  <c r="Q11" i="6" s="1"/>
  <c r="C18" i="6"/>
  <c r="I18" i="6" s="1"/>
  <c r="C14" i="6"/>
  <c r="I14" i="6" s="1"/>
  <c r="I128" i="7"/>
  <c r="I27" i="7"/>
  <c r="M21" i="6"/>
  <c r="O14" i="6"/>
  <c r="E21" i="6"/>
  <c r="E19" i="6"/>
  <c r="M19" i="6"/>
  <c r="K14" i="6"/>
  <c r="K18" i="6"/>
  <c r="C19" i="6"/>
  <c r="C21" i="6"/>
  <c r="C17" i="6"/>
  <c r="I17" i="6" s="1"/>
  <c r="K19" i="6"/>
  <c r="K16" i="6"/>
  <c r="K21" i="6"/>
  <c r="Y10" i="15"/>
  <c r="V18" i="15"/>
  <c r="Q8" i="15"/>
  <c r="Q9" i="15"/>
  <c r="Q11" i="15"/>
  <c r="Q13" i="15"/>
  <c r="Q14" i="15"/>
  <c r="Q15" i="15"/>
  <c r="Q16" i="15"/>
  <c r="I19" i="6" l="1"/>
  <c r="E22" i="6"/>
  <c r="G126" i="7"/>
  <c r="G127" i="7"/>
  <c r="I21" i="6"/>
  <c r="I22" i="6" s="1"/>
  <c r="Q21" i="6"/>
  <c r="M22" i="6"/>
  <c r="Q14" i="6"/>
  <c r="I129" i="7"/>
  <c r="G13" i="7"/>
  <c r="G14" i="7"/>
  <c r="G8" i="7"/>
  <c r="G9" i="7"/>
  <c r="G12" i="7"/>
  <c r="G11" i="7"/>
  <c r="G10" i="7"/>
  <c r="G15" i="7"/>
  <c r="G94" i="7"/>
  <c r="G57" i="7"/>
  <c r="G21" i="7"/>
  <c r="G99" i="7"/>
  <c r="G62" i="7"/>
  <c r="G26" i="7"/>
  <c r="G104" i="7"/>
  <c r="G67" i="7"/>
  <c r="G31" i="7"/>
  <c r="G103" i="7"/>
  <c r="G66" i="7"/>
  <c r="G30" i="7"/>
  <c r="G102" i="7"/>
  <c r="G65" i="7"/>
  <c r="G29" i="7"/>
  <c r="G107" i="7"/>
  <c r="G70" i="7"/>
  <c r="G34" i="7"/>
  <c r="G123" i="7"/>
  <c r="G88" i="7"/>
  <c r="G51" i="7"/>
  <c r="G128" i="7"/>
  <c r="G93" i="7"/>
  <c r="G56" i="7"/>
  <c r="G20" i="7"/>
  <c r="G98" i="7"/>
  <c r="G61" i="7"/>
  <c r="G25" i="7"/>
  <c r="G97" i="7"/>
  <c r="G60" i="7"/>
  <c r="G24" i="7"/>
  <c r="G96" i="7"/>
  <c r="G59" i="7"/>
  <c r="G23" i="7"/>
  <c r="G101" i="7"/>
  <c r="G64" i="7"/>
  <c r="G28" i="7"/>
  <c r="G117" i="7"/>
  <c r="G81" i="7"/>
  <c r="G45" i="7"/>
  <c r="G122" i="7"/>
  <c r="G87" i="7"/>
  <c r="G50" i="7"/>
  <c r="G124" i="7"/>
  <c r="G92" i="7"/>
  <c r="G55" i="7"/>
  <c r="G19" i="7"/>
  <c r="G91" i="7"/>
  <c r="G54" i="7"/>
  <c r="G18" i="7"/>
  <c r="G90" i="7"/>
  <c r="G53" i="7"/>
  <c r="G17" i="7"/>
  <c r="G95" i="7"/>
  <c r="G58" i="7"/>
  <c r="G22" i="7"/>
  <c r="G112" i="7"/>
  <c r="G75" i="7"/>
  <c r="G39" i="7"/>
  <c r="G116" i="7"/>
  <c r="G80" i="7"/>
  <c r="G44" i="7"/>
  <c r="G121" i="7"/>
  <c r="G86" i="7"/>
  <c r="G49" i="7"/>
  <c r="G120" i="7"/>
  <c r="G84" i="7"/>
  <c r="G48" i="7"/>
  <c r="G119" i="7"/>
  <c r="G83" i="7"/>
  <c r="G47" i="7"/>
  <c r="G85" i="7"/>
  <c r="G89" i="7"/>
  <c r="G52" i="7"/>
  <c r="G106" i="7"/>
  <c r="G69" i="7"/>
  <c r="G33" i="7"/>
  <c r="G111" i="7"/>
  <c r="G74" i="7"/>
  <c r="G38" i="7"/>
  <c r="G115" i="7"/>
  <c r="G79" i="7"/>
  <c r="G43" i="7"/>
  <c r="G125" i="7"/>
  <c r="G78" i="7"/>
  <c r="G100" i="7"/>
  <c r="G40" i="7"/>
  <c r="G37" i="7"/>
  <c r="G113" i="7"/>
  <c r="G109" i="7"/>
  <c r="G82" i="7"/>
  <c r="G72" i="7"/>
  <c r="G76" i="7"/>
  <c r="G32" i="7"/>
  <c r="G42" i="7"/>
  <c r="G41" i="7"/>
  <c r="G46" i="7"/>
  <c r="G110" i="7"/>
  <c r="G36" i="7"/>
  <c r="G35" i="7"/>
  <c r="G63" i="7"/>
  <c r="G73" i="7"/>
  <c r="G114" i="7"/>
  <c r="G118" i="7"/>
  <c r="G27" i="7"/>
  <c r="G108" i="7"/>
  <c r="G105" i="7"/>
  <c r="G77" i="7"/>
  <c r="G68" i="7"/>
  <c r="G71" i="7"/>
  <c r="G16" i="7"/>
  <c r="C22" i="6"/>
  <c r="K22" i="6"/>
  <c r="O13" i="6"/>
  <c r="Q13" i="6" s="1"/>
  <c r="O16" i="6"/>
  <c r="Q16" i="6" s="1"/>
  <c r="O19" i="6"/>
  <c r="Q19" i="6" s="1"/>
  <c r="O12" i="6"/>
  <c r="Q12" i="6" s="1"/>
  <c r="O18" i="6"/>
  <c r="Q18" i="6" s="1"/>
  <c r="O17" i="6"/>
  <c r="Q17" i="6" s="1"/>
  <c r="O10" i="6"/>
  <c r="Y16" i="15"/>
  <c r="Y11" i="15"/>
  <c r="Y9" i="15"/>
  <c r="Y14" i="15"/>
  <c r="Y8" i="15"/>
  <c r="Y13" i="15"/>
  <c r="Y15" i="15"/>
  <c r="K126" i="7" l="1"/>
  <c r="K127" i="7"/>
  <c r="K11" i="7"/>
  <c r="K45" i="7"/>
  <c r="K60" i="7"/>
  <c r="K43" i="7"/>
  <c r="K82" i="7"/>
  <c r="K101" i="7"/>
  <c r="K42" i="7"/>
  <c r="K41" i="7"/>
  <c r="K87" i="7"/>
  <c r="K23" i="7"/>
  <c r="K58" i="7"/>
  <c r="K125" i="7"/>
  <c r="K107" i="7"/>
  <c r="K61" i="7"/>
  <c r="K20" i="7"/>
  <c r="K73" i="7"/>
  <c r="K79" i="7"/>
  <c r="K72" i="7"/>
  <c r="K65" i="7"/>
  <c r="K46" i="7"/>
  <c r="K44" i="7"/>
  <c r="K40" i="7"/>
  <c r="K52" i="7"/>
  <c r="K57" i="7"/>
  <c r="K121" i="7"/>
  <c r="K25" i="7"/>
  <c r="K47" i="7"/>
  <c r="K92" i="7"/>
  <c r="K56" i="7"/>
  <c r="K106" i="7"/>
  <c r="K16" i="7"/>
  <c r="K19" i="7"/>
  <c r="K116" i="7"/>
  <c r="K17" i="7"/>
  <c r="K50" i="7"/>
  <c r="K113" i="7"/>
  <c r="K98" i="7"/>
  <c r="K93" i="7"/>
  <c r="K117" i="7"/>
  <c r="K104" i="7"/>
  <c r="K49" i="7"/>
  <c r="K114" i="7"/>
  <c r="K124" i="7"/>
  <c r="K99" i="7"/>
  <c r="K115" i="7"/>
  <c r="K110" i="7"/>
  <c r="K28" i="7"/>
  <c r="K95" i="7"/>
  <c r="K34" i="7"/>
  <c r="K29" i="7"/>
  <c r="K36" i="7"/>
  <c r="K66" i="7"/>
  <c r="K76" i="7"/>
  <c r="K75" i="7"/>
  <c r="K31" i="7"/>
  <c r="K71" i="7"/>
  <c r="K39" i="7"/>
  <c r="K111" i="7"/>
  <c r="K103" i="7"/>
  <c r="K105" i="7"/>
  <c r="K68" i="7"/>
  <c r="K62" i="7"/>
  <c r="K30" i="7"/>
  <c r="K96" i="7"/>
  <c r="K108" i="7"/>
  <c r="K70" i="7"/>
  <c r="K120" i="7"/>
  <c r="K33" i="7"/>
  <c r="K123" i="7"/>
  <c r="K86" i="7"/>
  <c r="K80" i="7"/>
  <c r="K102" i="7"/>
  <c r="K90" i="7"/>
  <c r="K63" i="7"/>
  <c r="K48" i="7"/>
  <c r="K118" i="7"/>
  <c r="K85" i="7"/>
  <c r="K122" i="7"/>
  <c r="K51" i="7"/>
  <c r="K67" i="7"/>
  <c r="K94" i="7"/>
  <c r="K100" i="7"/>
  <c r="K10" i="7"/>
  <c r="K15" i="7"/>
  <c r="K64" i="7"/>
  <c r="K13" i="7"/>
  <c r="K9" i="7"/>
  <c r="K8" i="7"/>
  <c r="K12" i="7"/>
  <c r="E10" i="11"/>
  <c r="I10" i="11" s="1"/>
  <c r="K55" i="7"/>
  <c r="K83" i="7"/>
  <c r="K59" i="7"/>
  <c r="K69" i="7"/>
  <c r="K54" i="7"/>
  <c r="K26" i="7"/>
  <c r="K35" i="7"/>
  <c r="K22" i="7"/>
  <c r="K78" i="7"/>
  <c r="K14" i="7"/>
  <c r="Q10" i="6"/>
  <c r="K27" i="7"/>
  <c r="K128" i="7"/>
  <c r="K97" i="7"/>
  <c r="K18" i="7"/>
  <c r="K74" i="7"/>
  <c r="K112" i="7"/>
  <c r="K84" i="7"/>
  <c r="K38" i="7"/>
  <c r="K53" i="7"/>
  <c r="K21" i="7"/>
  <c r="K77" i="7"/>
  <c r="K91" i="7"/>
  <c r="K88" i="7"/>
  <c r="K109" i="7"/>
  <c r="K119" i="7"/>
  <c r="K81" i="7"/>
  <c r="K32" i="7"/>
  <c r="K37" i="7"/>
  <c r="K89" i="7"/>
  <c r="K24" i="7"/>
  <c r="G129" i="7"/>
  <c r="K129" i="7" l="1"/>
  <c r="Q7" i="15"/>
  <c r="P11" i="23" l="1"/>
  <c r="Q17" i="15"/>
  <c r="O20" i="6"/>
  <c r="Y7" i="15"/>
  <c r="R11" i="23" l="1"/>
  <c r="P12" i="23"/>
  <c r="Q20" i="6"/>
  <c r="Q22" i="6" s="1"/>
  <c r="E9" i="11" s="1"/>
  <c r="I9" i="11" s="1"/>
  <c r="O22" i="6"/>
  <c r="R12" i="23" l="1"/>
  <c r="S11" i="23"/>
  <c r="S12" i="23" s="1"/>
  <c r="E8" i="11"/>
  <c r="I8" i="11" s="1"/>
  <c r="I12" i="11" s="1"/>
  <c r="E12" i="11"/>
  <c r="G9" i="11" l="1"/>
  <c r="G8" i="11"/>
  <c r="G7" i="11"/>
  <c r="G11" i="11"/>
  <c r="G10" i="11"/>
  <c r="G12" i="11" l="1"/>
  <c r="G128" i="13"/>
  <c r="E128" i="13"/>
  <c r="A3" i="8" l="1"/>
  <c r="D44" i="2" l="1"/>
  <c r="F44" i="2"/>
  <c r="H44" i="2"/>
  <c r="J44" i="2"/>
  <c r="J14" i="21" l="1"/>
  <c r="F14" i="21"/>
  <c r="A3" i="21"/>
  <c r="A3" i="13" l="1"/>
  <c r="C128" i="13" l="1"/>
  <c r="I53" i="13" l="1"/>
  <c r="I128" i="13" s="1"/>
  <c r="C12" i="5" l="1"/>
  <c r="I12" i="5"/>
  <c r="S12" i="5"/>
  <c r="E12" i="5"/>
  <c r="M12" i="5"/>
  <c r="O12" i="5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G11" i="1"/>
  <c r="E11" i="1"/>
  <c r="D11" i="1"/>
  <c r="G12" i="5"/>
  <c r="Q12" i="5"/>
  <c r="U12" i="5" l="1"/>
  <c r="K12" i="5" l="1"/>
  <c r="J9" i="18" l="1"/>
  <c r="L9" i="18"/>
  <c r="N9" i="18"/>
  <c r="R9" i="18"/>
  <c r="D22" i="6" l="1"/>
  <c r="F22" i="6"/>
  <c r="H22" i="6"/>
  <c r="J22" i="6"/>
  <c r="L22" i="6"/>
  <c r="N22" i="6"/>
  <c r="P22" i="6"/>
  <c r="A3" i="14" l="1"/>
  <c r="A3" i="7" l="1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<sst xmlns="http://schemas.openxmlformats.org/spreadsheetml/2006/main" count="702" uniqueCount="329">
  <si>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</si>
  <si>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</si>
  <si>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</si>
  <si>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</si>
  <si>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</si>
  <si>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</si>
  <si>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</si>
  <si>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</si>
  <si>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</si>
  <si>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</si>
  <si>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</si>
  <si>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</si>
  <si>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</si>
  <si>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</si>
  <si>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</si>
  <si>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</si>
  <si>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</si>
  <si>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</si>
  <si>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</si>
  <si>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</si>
  <si>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</si>
  <si>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</si>
  <si>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</si>
  <si>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</si>
  <si>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</si>
  <si>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</si>
  <si>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</si>
  <si>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</si>
  <si>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</si>
  <si>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</si>
  <si>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</si>
  <si>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</si>
  <si>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</si>
  <si>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</si>
  <si>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</si>
  <si>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</si>
  <si>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</si>
  <si>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</si>
  <si>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</si>
  <si>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</si>
  <si>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</si>
  <si>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</si>
  <si>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</si>
  <si>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</si>
  <si>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</si>
  <si>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</si>
  <si>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</si>
  <si>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</si>
  <si>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</si>
  <si>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</si>
  <si>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</si>
  <si>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</si>
  <si>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</si>
  <si>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</si>
  <si>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</si>
  <si>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</si>
  <si>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</si>
  <si>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</si>
  <si>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</si>
  <si>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</si>
  <si>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</si>
  <si>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</si>
  <si>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</si>
  <si>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</si>
  <si>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</si>
  <si>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</si>
  <si>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</si>
  <si>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</si>
  <si>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</si>
  <si>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</si>
  <si>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</si>
  <si>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</si>
  <si>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</si>
  <si>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</si>
  <si>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</si>
  <si>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</si>
  <si>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</si>
  <si>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</si>
  <si>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</si>
  <si>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</si>
  <si>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</si>
  <si>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</si>
  <si>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</si>
  <si>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</si>
  <si>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</si>
  <si>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</si>
  <si>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</si>
  <si>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</si>
  <si>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</si>
  <si>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</si>
  <si>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</si>
  <si>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</si>
  <si>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</si>
  <si>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</si>
  <si>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</si>
  <si>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</si>
  <si>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</si>
  <si>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</si>
  <si>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</si>
  <si>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</si>
  <si>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</si>
  <si>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</si>
  <si>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</si>
  <si>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</si>
  <si>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</si>
  <si>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</si>
  <si>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</si>
  <si>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</si>
  <si>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</si>
  <si>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</si>
  <si>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</si>
  <si>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</si>
  <si>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مرابحه عام دولت3-ش.خ 0303 (اراد33)</t>
  </si>
  <si>
    <t>صکوک مرابحه غدیر504-3ماهه18% (صغدیر504)</t>
  </si>
  <si>
    <t>1403/03/27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</si>
  <si>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</si>
  <si>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</si>
  <si>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</si>
  <si>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</si>
  <si>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</si>
  <si>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</si>
  <si>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</si>
  <si>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</si>
  <si>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</si>
  <si>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</si>
  <si>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</si>
  <si>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</si>
  <si>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</si>
  <si>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</si>
  <si>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</si>
  <si>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</si>
  <si>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</si>
  <si>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7001003214649</t>
  </si>
  <si>
    <t>اسنادخزانه-م4بودجه01-040917 (اخزا104)</t>
  </si>
  <si>
    <t>مرابحه مادیران-کیان060626 (لوازم مادیران063)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</si>
  <si>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</si>
  <si>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</si>
  <si>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</si>
  <si>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</si>
  <si>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</si>
  <si>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</si>
  <si>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</si>
  <si>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</si>
  <si>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</si>
  <si>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</si>
  <si>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</si>
  <si>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</si>
  <si>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</si>
  <si>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</si>
  <si>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</si>
  <si>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</si>
  <si>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</si>
  <si>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</si>
  <si>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</si>
  <si>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</si>
  <si>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</si>
  <si>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</si>
  <si>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اسنادخزانه-م7بودجه00-030912 (اخزا007)</t>
  </si>
  <si>
    <t>اسنادخزانه-م7بودجه01-040714 (اخزا107)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</si>
  <si>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</si>
  <si>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</si>
  <si>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</si>
  <si>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</si>
  <si>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</si>
  <si>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</si>
  <si>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</si>
  <si>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</si>
  <si>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</si>
  <si>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</si>
  <si>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</si>
  <si>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</si>
  <si>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</si>
  <si>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</si>
  <si>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</si>
  <si>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</si>
  <si>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</si>
  <si>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</si>
  <si>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</si>
  <si>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</si>
  <si>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</si>
  <si>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</si>
  <si>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</si>
  <si>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</si>
  <si>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</si>
  <si>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</si>
  <si>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</si>
  <si>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</si>
  <si>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</si>
  <si>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</si>
  <si>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</si>
  <si>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</si>
  <si>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</si>
  <si>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</si>
  <si>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</si>
  <si>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</si>
  <si>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</si>
  <si>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</si>
  <si>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</si>
  <si>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</si>
  <si>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</si>
  <si>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</si>
  <si>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</si>
  <si>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</si>
  <si>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</si>
  <si>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</si>
  <si>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</si>
  <si>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</si>
  <si>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</si>
  <si>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</si>
  <si>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</si>
  <si>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</si>
  <si>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</si>
  <si>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</si>
  <si>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</si>
  <si>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</si>
  <si>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</si>
  <si>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</si>
  <si>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</si>
  <si>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</si>
  <si>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</si>
  <si>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</si>
  <si>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</si>
  <si>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</si>
  <si>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</si>
  <si>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</si>
  <si>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</si>
  <si>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</si>
  <si>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</si>
  <si>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</si>
  <si>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</si>
  <si>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</si>
  <si>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</si>
  <si>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</si>
  <si>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</si>
  <si>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</si>
  <si>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</si>
  <si>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</si>
  <si>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</si>
  <si>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</si>
  <si>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بانک پاسارگاد 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</si>
  <si>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</si>
  <si>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</si>
  <si>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</si>
  <si>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‫قیمت پایانی</t>
  </si>
  <si>
    <t>اقتصاد نوین34-6867480-283-124</t>
  </si>
  <si>
    <t>اقتصاد نوین33-6867480-283-124</t>
  </si>
  <si>
    <t>اقتصاد نوین 124.283.6867480.30</t>
  </si>
  <si>
    <t>اقتصاد نوین 124.283.6867480.29</t>
  </si>
  <si>
    <t>اقتصاد نوین 124.283.6867480.28</t>
  </si>
  <si>
    <t>اقتصاد نوین 124.283.6867480.27</t>
  </si>
  <si>
    <t>اقتصاد نوین 124.283.6867480.26</t>
  </si>
  <si>
    <t>اقتصاد نوین 124.283.6867480.25</t>
  </si>
  <si>
    <t>اقتصاد نوین 124.283.6867480.24</t>
  </si>
  <si>
    <t>اقتصاد نوین 124.283.6867480.23</t>
  </si>
  <si>
    <t>اقتصاد نوین 124.283.6867480.22</t>
  </si>
  <si>
    <t>اقتصاد نوین 124.283.6867480.20</t>
  </si>
  <si>
    <t>اقتصاد نوین - 124283686748037</t>
  </si>
  <si>
    <t>اقتصاد نوین- 31-6867480-283-124</t>
  </si>
  <si>
    <t>اقتصاد نوین- 124.283.6867480.35</t>
  </si>
  <si>
    <t>Row Labels</t>
  </si>
  <si>
    <t>Sum of تعداد</t>
  </si>
  <si>
    <t>بانک شهر 7001004144961</t>
  </si>
  <si>
    <t>بانک شهر 7001004144924</t>
  </si>
  <si>
    <t xml:space="preserve">بانک شهر 7001004144875 </t>
  </si>
  <si>
    <t>بانک شهر 7001004144835</t>
  </si>
  <si>
    <t>بانک شهر 7001004144834</t>
  </si>
  <si>
    <t>124.283.6867480.28</t>
  </si>
  <si>
    <t>Sum of مبلغ خالص</t>
  </si>
  <si>
    <t>Sum of سود و زیان خالص</t>
  </si>
  <si>
    <t>اخزا007</t>
  </si>
  <si>
    <t>اخزا104</t>
  </si>
  <si>
    <t>اخزا107</t>
  </si>
  <si>
    <t>اراد142</t>
  </si>
  <si>
    <t>اراد33</t>
  </si>
  <si>
    <t>اراد69</t>
  </si>
  <si>
    <t>صغدیر504</t>
  </si>
  <si>
    <t>عالیس072</t>
  </si>
  <si>
    <t>لوازم مادیران063</t>
  </si>
  <si>
    <t>1406/06/26</t>
  </si>
  <si>
    <t>1405/04/07</t>
  </si>
  <si>
    <t>1403/08/30</t>
  </si>
  <si>
    <t>ص.س. در اوراق بهادار مبتنی بر سکه طلای کیان (گوهر)</t>
  </si>
  <si>
    <t>صکوک مرابحه فروس670-بدون ضامن (صفروس670)</t>
  </si>
  <si>
    <t>1403/07/29</t>
  </si>
  <si>
    <t>1406/07/29</t>
  </si>
  <si>
    <t>بانک صادرات 0407482631001</t>
  </si>
  <si>
    <t>پاسارگاد 209303152272683</t>
  </si>
  <si>
    <t>بانک صادرات 0407480984009</t>
  </si>
  <si>
    <t xml:space="preserve">86481039984291	</t>
  </si>
  <si>
    <t>منتهی به 1403/09/30</t>
  </si>
  <si>
    <t>برای ماه منتهی به 1403/09/30</t>
  </si>
  <si>
    <t>1403/09/30</t>
  </si>
  <si>
    <t>طی آذر ماه</t>
  </si>
  <si>
    <t>از ابتدای سال مالی تا پایان آذرماه</t>
  </si>
  <si>
    <t>از ابتدای سال مالی تا پایان آذر ماه</t>
  </si>
  <si>
    <t>از ابتدای سال مالی تا آذر ماه</t>
  </si>
  <si>
    <t>گردشگری کوتاه مدت 164.71.1772702.1</t>
  </si>
  <si>
    <t>گردشگری بلند مدت 164.333.1772702.1</t>
  </si>
  <si>
    <t>بانک تجارت 0479604349703</t>
  </si>
  <si>
    <t>بانک تجارت 0479604275643</t>
  </si>
  <si>
    <t>بانک تجارت 0479604255640</t>
  </si>
  <si>
    <t>164.333.1772702.1</t>
  </si>
  <si>
    <t xml:space="preserve">  2098100152272681	</t>
  </si>
  <si>
    <t>32-6867480-283-124</t>
  </si>
  <si>
    <t>124.283.6867480.30</t>
  </si>
  <si>
    <t>124.283.6867480.29</t>
  </si>
  <si>
    <t>124.283.6867480.27</t>
  </si>
  <si>
    <t>124.283.6867480.26</t>
  </si>
  <si>
    <t>124.283.6867480.25</t>
  </si>
  <si>
    <t>124.283.6867480.24</t>
  </si>
  <si>
    <t>124.283.6867480.23</t>
  </si>
  <si>
    <t>124.283.6867480.22</t>
  </si>
  <si>
    <t>124.283.6867480.20</t>
  </si>
  <si>
    <t>31-6867480-283-124</t>
  </si>
  <si>
    <t>124.283.6867480.35</t>
  </si>
  <si>
    <t>صادرات 0407482631001</t>
  </si>
  <si>
    <t>صادرات 0407480984009</t>
  </si>
  <si>
    <t xml:space="preserve"> شرکت فروسیلیس ایران</t>
  </si>
  <si>
    <t>‫طی آدر ماه</t>
  </si>
  <si>
    <t>2-2-درآمد حاصل از سرمایه­گذاری در واحدهای صندوق:</t>
  </si>
  <si>
    <t>صندوق</t>
  </si>
  <si>
    <t>درآمد سود صندوق</t>
  </si>
  <si>
    <t>یادداشت ...</t>
  </si>
  <si>
    <t>درصد از کل درآمد ها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</si>
  <si>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</si>
  <si>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</si>
  <si>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درآمد حاصل از سرمایه­گذاری در واحدهای صندوق</t>
  </si>
  <si>
    <t>5-2</t>
  </si>
  <si>
    <t>5-2-سایر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</si>
</sst>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  <font>
      <sz val="16"/>
      <name val="B Mitra"/>
      <charset val="178"/>
    </font>
    <font>
      <sz val="1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15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5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horizontal="left" vertical="center" wrapText="1" shrinkToFit="1"/>
    </xf>
    <xf numFmtId="167" fontId="45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5" fillId="0" borderId="0" xfId="1" applyNumberFormat="1" applyFont="1" applyFill="1" applyAlignment="1">
      <alignment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0" fontId="43" fillId="0" borderId="3" xfId="0" applyFont="1" applyBorder="1"/>
    <xf numFmtId="168" fontId="44" fillId="0" borderId="0" xfId="0" applyNumberFormat="1" applyFont="1" applyAlignment="1">
      <alignment horizontal="center" vertical="center" wrapText="1" shrinkToFit="1"/>
    </xf>
    <xf numFmtId="0" fontId="45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4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8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0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49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 vertical="center"/>
    </xf>
    <xf numFmtId="164" fontId="46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164" fontId="48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59" fillId="0" borderId="0" xfId="0" applyNumberFormat="1" applyFont="1"/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2" fillId="0" borderId="14" xfId="0" applyNumberFormat="1" applyFont="1" applyBorder="1" applyAlignment="1">
      <alignment horizontal="center" vertical="center" wrapTex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62" fillId="0" borderId="15" xfId="0" applyFont="1" applyBorder="1" applyAlignment="1">
      <alignment horizontal="center" vertical="center" wrapText="1" readingOrder="2"/>
    </xf>
    <xf numFmtId="0" fontId="63" fillId="0" borderId="15" xfId="0" applyFont="1" applyBorder="1" applyAlignment="1">
      <alignment horizontal="center" vertical="center" wrapText="1" readingOrder="2"/>
    </xf>
    <xf numFmtId="0" fontId="21" fillId="3" borderId="0" xfId="0" applyFont="1" applyFill="1"/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8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5" fillId="0" borderId="0" xfId="0" applyNumberFormat="1" applyFont="1" applyAlignment="1">
      <alignment horizontal="center" vertical="center"/>
    </xf>
    <xf numFmtId="0" fontId="22" fillId="0" borderId="0" xfId="0" applyFont="1"/>
    <xf numFmtId="9" fontId="22" fillId="0" borderId="0" xfId="2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63" fillId="0" borderId="15" xfId="1" applyNumberFormat="1" applyFont="1" applyBorder="1" applyAlignment="1">
      <alignment horizontal="center" vertical="center" wrapText="1" readingOrder="2"/>
    </xf>
    <xf numFmtId="9" fontId="63" fillId="0" borderId="15" xfId="0" applyNumberFormat="1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wrapText="1" readingOrder="2"/>
    </xf>
    <xf numFmtId="164" fontId="22" fillId="0" borderId="8" xfId="1" applyNumberFormat="1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wrapText="1"/>
    </xf>
    <xf numFmtId="164" fontId="22" fillId="0" borderId="0" xfId="1" applyNumberFormat="1" applyFont="1" applyFill="1" applyBorder="1" applyAlignment="1">
      <alignment vertical="center"/>
    </xf>
    <xf numFmtId="164" fontId="63" fillId="0" borderId="15" xfId="1" applyNumberFormat="1" applyFont="1" applyFill="1" applyBorder="1" applyAlignment="1">
      <alignment horizontal="center" vertical="center" wrapText="1" readingOrder="2"/>
    </xf>
    <xf numFmtId="49" fontId="14" fillId="0" borderId="0" xfId="0" applyNumberFormat="1" applyFont="1" applyAlignment="1">
      <alignment horizontal="right" vertical="center"/>
    </xf>
    <xf numFmtId="0" fontId="35" fillId="2" borderId="18" xfId="0" applyFont="1" applyFill="1" applyBorder="1" applyAlignment="1">
      <alignment horizontal="right" vertical="center" readingOrder="2"/>
    </xf>
    <xf numFmtId="0" fontId="35" fillId="2" borderId="16" xfId="0" applyFont="1" applyFill="1" applyBorder="1" applyAlignment="1">
      <alignment horizontal="right" vertical="center" readingOrder="2"/>
    </xf>
    <xf numFmtId="38" fontId="19" fillId="0" borderId="17" xfId="1" applyNumberFormat="1" applyFont="1" applyFill="1" applyBorder="1" applyAlignment="1">
      <alignment horizontal="right" vertical="center" readingOrder="2"/>
    </xf>
    <xf numFmtId="164" fontId="22" fillId="0" borderId="8" xfId="1" applyNumberFormat="1" applyFont="1" applyFill="1" applyBorder="1" applyAlignment="1">
      <alignment horizontal="left" vertical="center"/>
    </xf>
    <xf numFmtId="37" fontId="42" fillId="0" borderId="19" xfId="0" applyNumberFormat="1" applyFont="1" applyBorder="1" applyAlignment="1">
      <alignment horizontal="center" vertical="center"/>
    </xf>
    <xf numFmtId="164" fontId="44" fillId="0" borderId="0" xfId="1" applyNumberFormat="1" applyFont="1" applyAlignment="1">
      <alignment horizontal="center" vertical="center" wrapText="1" shrinkToFit="1"/>
    </xf>
    <xf numFmtId="164" fontId="19" fillId="0" borderId="1" xfId="1" applyNumberFormat="1" applyFont="1" applyFill="1" applyBorder="1" applyAlignment="1">
      <alignment horizontal="right" vertical="center" readingOrder="2"/>
    </xf>
    <xf numFmtId="164" fontId="32" fillId="0" borderId="0" xfId="1" applyNumberFormat="1" applyFont="1" applyAlignment="1">
      <alignment horizontal="center" vertical="center" wrapText="1"/>
    </xf>
    <xf numFmtId="37" fontId="67" fillId="0" borderId="0" xfId="0" quotePrefix="1" applyNumberFormat="1" applyFont="1" applyAlignment="1">
      <alignment horizontal="center" vertical="center" wrapText="1"/>
    </xf>
    <xf numFmtId="10" fontId="32" fillId="0" borderId="0" xfId="2" applyNumberFormat="1" applyFont="1" applyAlignment="1">
      <alignment horizontal="center" vertical="center" wrapText="1" shrinkToFit="1"/>
    </xf>
    <xf numFmtId="10" fontId="68" fillId="0" borderId="0" xfId="2" applyNumberFormat="1" applyFont="1" applyAlignment="1">
      <alignment horizontal="center" vertical="center" wrapText="1" shrinkToFit="1"/>
    </xf>
    <xf numFmtId="164" fontId="68" fillId="0" borderId="0" xfId="0" applyNumberFormat="1" applyFont="1" applyAlignment="1">
      <alignment horizontal="center" vertical="center" wrapText="1" shrinkToFit="1"/>
    </xf>
    <xf numFmtId="164" fontId="21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indent="1"/>
    </xf>
    <xf numFmtId="169" fontId="63" fillId="0" borderId="15" xfId="0" applyNumberFormat="1" applyFont="1" applyBorder="1" applyAlignment="1">
      <alignment horizontal="center" vertical="center" wrapText="1" readingOrder="2"/>
    </xf>
    <xf numFmtId="0" fontId="69" fillId="0" borderId="0" xfId="0" applyFont="1"/>
    <xf numFmtId="0" fontId="69" fillId="0" borderId="1" xfId="0" applyFont="1" applyBorder="1"/>
    <xf numFmtId="0" fontId="70" fillId="0" borderId="0" xfId="0" applyFont="1" applyAlignment="1">
      <alignment vertical="center" wrapText="1" readingOrder="2"/>
    </xf>
    <xf numFmtId="0" fontId="69" fillId="0" borderId="0" xfId="0" applyFont="1" applyAlignment="1">
      <alignment vertical="center" wrapText="1"/>
    </xf>
    <xf numFmtId="0" fontId="71" fillId="0" borderId="1" xfId="0" applyFont="1" applyBorder="1" applyAlignment="1">
      <alignment vertical="center" wrapText="1" readingOrder="2"/>
    </xf>
    <xf numFmtId="0" fontId="70" fillId="0" borderId="4" xfId="0" applyFont="1" applyBorder="1" applyAlignment="1">
      <alignment horizontal="center" vertical="center" wrapText="1" readingOrder="2"/>
    </xf>
    <xf numFmtId="0" fontId="71" fillId="0" borderId="0" xfId="0" applyFont="1" applyAlignment="1">
      <alignment horizontal="right" vertical="center" wrapText="1" readingOrder="2"/>
    </xf>
    <xf numFmtId="0" fontId="71" fillId="0" borderId="0" xfId="0" applyFont="1" applyAlignment="1">
      <alignment horizontal="center" vertical="center" wrapText="1" readingOrder="2"/>
    </xf>
    <xf numFmtId="0" fontId="71" fillId="0" borderId="3" xfId="0" applyFont="1" applyBorder="1" applyAlignment="1">
      <alignment horizontal="center" vertical="center" wrapText="1" readingOrder="2"/>
    </xf>
    <xf numFmtId="0" fontId="71" fillId="0" borderId="8" xfId="0" applyFont="1" applyBorder="1" applyAlignment="1">
      <alignment horizontal="center" vertical="center" wrapText="1" readingOrder="2"/>
    </xf>
    <xf numFmtId="43" fontId="71" fillId="0" borderId="8" xfId="0" applyNumberFormat="1" applyFont="1" applyBorder="1" applyAlignment="1">
      <alignment horizontal="center" vertical="center" wrapText="1" readingOrder="2"/>
    </xf>
    <xf numFmtId="10" fontId="71" fillId="0" borderId="0" xfId="2" applyNumberFormat="1" applyFont="1" applyAlignment="1">
      <alignment horizontal="center" vertical="center" wrapText="1" readingOrder="2"/>
    </xf>
    <xf numFmtId="164" fontId="28" fillId="0" borderId="8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horizontal="center" vertical="center" wrapText="1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3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60" fillId="0" borderId="0" xfId="0" applyFont="1" applyAlignment="1">
      <alignment horizontal="right" vertical="center" readingOrder="2"/>
    </xf>
    <xf numFmtId="0" fontId="70" fillId="0" borderId="1" xfId="0" applyFont="1" applyBorder="1" applyAlignment="1">
      <alignment horizontal="center" vertical="center" wrapText="1" readingOrder="2"/>
    </xf>
    <xf numFmtId="0" fontId="69" fillId="0" borderId="3" xfId="0" applyFont="1" applyBorder="1" applyAlignment="1">
      <alignment vertical="center" wrapText="1"/>
    </xf>
    <xf numFmtId="0" fontId="69" fillId="0" borderId="0" xfId="0" applyFont="1" applyAlignment="1">
      <alignment vertical="center" wrapText="1"/>
    </xf>
    <xf numFmtId="0" fontId="69" fillId="0" borderId="0" xfId="0" applyFont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 readingOrder="2"/>
    </xf>
    <xf numFmtId="0" fontId="70" fillId="0" borderId="0" xfId="0" applyFont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15" xfId="0" applyFont="1" applyBorder="1" applyAlignment="1">
      <alignment horizontal="center" vertical="center" wrapText="1" readingOrder="2"/>
    </xf>
    <xf numFmtId="0" fontId="62" fillId="0" borderId="15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66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43" fontId="71" fillId="0" borderId="8" xfId="0" applyNumberFormat="1" applyFont="1" applyFill="1" applyBorder="1" applyAlignment="1">
      <alignment horizontal="center" vertical="center" wrapText="1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9" fontId="38" fillId="0" borderId="2" xfId="2" applyFont="1" applyFill="1" applyBorder="1" applyAlignment="1">
      <alignment horizontal="center" vertical="center" wrapText="1" readingOrder="2"/>
    </xf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15" fillId="0" borderId="0" xfId="0" applyNumberFormat="1" applyFont="1" applyFill="1"/>
    <xf numFmtId="164" fontId="22" fillId="0" borderId="0" xfId="1" applyNumberFormat="1" applyFont="1" applyFill="1" applyBorder="1" applyAlignment="1">
      <alignment horizontal="left" vertical="center"/>
    </xf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19" fillId="0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590550</xdr:colOff>
      <xdr:row>35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3D4143-3AF7-F0BB-25EF-289F78B76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19050" y="0"/>
          <a:ext cx="5467350" cy="7648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ira\Downloads\-codal&#1711;&#1586;&#1575;&#1585;&#1588;%20&#1662;&#1585;&#1578;&#1601;&#1608;&#1740;%20&#1606;&#1583;&#1575;%201403083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روکش"/>
      <sheetName val=" سهام"/>
      <sheetName val="واحدهای صندوق"/>
      <sheetName val="اوراق"/>
      <sheetName val="تعدیل اوراق"/>
      <sheetName val="سپرده"/>
      <sheetName val="درآمدها"/>
      <sheetName val="درآمد سرمایه گذاری در سهام "/>
      <sheetName val="درآمد سرمایه گذاری در اوراق بها"/>
      <sheetName val="مبالغ تخصیصی اوراق "/>
      <sheetName val="درآمد سپرده بانکی"/>
      <sheetName val="سود اوراق بهادار"/>
      <sheetName val="سود سپرده بانکی"/>
      <sheetName val="مبالغ تخصیصی اورراق "/>
      <sheetName val="سایر درآمدها"/>
      <sheetName val="درآمد سود سهام"/>
      <sheetName val="درآمد ناشی ازفروش"/>
      <sheetName val="درآمد ناشی از تغییر قیمت اوراق "/>
    </sheetNames>
    <sheetDataSet>
      <sheetData sheetId="0"/>
      <sheetData sheetId="1"/>
      <sheetData sheetId="2"/>
      <sheetData sheetId="3">
        <row r="12">
          <cell r="Y12">
            <v>320000</v>
          </cell>
        </row>
        <row r="13">
          <cell r="Y13">
            <v>200000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zoomScale="70" zoomScaleNormal="100" zoomScaleSheetLayoutView="70" workbookViewId="0">
      <selection activeCell="L27" sqref="L27"/>
    </sheetView>
  </sheetViews>
  <sheetFormatPr defaultColWidth="9.140625" defaultRowHeight="17.25"/>
  <cols>
    <col min="1" max="16384" width="9.140625" style="7"/>
  </cols>
  <sheetData>
    <row r="18" spans="1:13">
      <c r="M18" s="7" t="s">
        <v>52</v>
      </c>
    </row>
    <row r="24" spans="1:13" ht="15" customHeight="1">
      <c r="A24" s="292" t="s">
        <v>66</v>
      </c>
      <c r="B24" s="292"/>
      <c r="C24" s="292"/>
      <c r="D24" s="292"/>
      <c r="E24" s="292"/>
      <c r="F24" s="292"/>
      <c r="G24" s="292"/>
      <c r="H24" s="292"/>
      <c r="I24" s="292"/>
      <c r="J24" s="292"/>
      <c r="K24" s="18"/>
      <c r="L24" s="18"/>
    </row>
    <row r="25" spans="1:13" ht="15" customHeight="1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18"/>
      <c r="L25" s="18"/>
    </row>
    <row r="26" spans="1:13" ht="15" customHeight="1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18"/>
      <c r="L26" s="18"/>
    </row>
    <row r="28" spans="1:13" ht="15" customHeight="1">
      <c r="A28" s="292" t="s">
        <v>289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</row>
    <row r="29" spans="1:13" ht="15" customHeight="1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</row>
    <row r="30" spans="1:13" ht="15" customHeight="1">
      <c r="A30" s="292"/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</row>
    <row r="31" spans="1:13" ht="15" customHeight="1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74" t="s">
        <v>209</v>
      </c>
      <c r="B1" s="374"/>
      <c r="C1" s="374"/>
      <c r="D1" s="374"/>
      <c r="E1" s="374"/>
      <c r="F1" s="374"/>
      <c r="G1" s="374"/>
      <c r="H1" s="374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>
      <c r="A2" s="374" t="s">
        <v>50</v>
      </c>
      <c r="B2" s="374"/>
      <c r="C2" s="374"/>
      <c r="D2" s="374"/>
      <c r="E2" s="374"/>
      <c r="F2" s="374"/>
      <c r="G2" s="374"/>
      <c r="H2" s="374"/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>
      <c r="A3" s="374" t="s">
        <v>210</v>
      </c>
      <c r="B3" s="374"/>
      <c r="C3" s="374"/>
      <c r="D3" s="374"/>
      <c r="E3" s="374"/>
      <c r="F3" s="374"/>
      <c r="G3" s="374"/>
      <c r="H3" s="374"/>
      <c r="I3" s="226"/>
      <c r="J3" s="226"/>
      <c r="K3" s="226"/>
      <c r="L3" s="226"/>
      <c r="M3" s="226"/>
      <c r="N3" s="226"/>
      <c r="O3" s="226"/>
      <c r="P3" s="226"/>
      <c r="Q3" s="226"/>
    </row>
    <row r="5" spans="1:17" ht="25.5">
      <c r="A5" s="357" t="s">
        <v>211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</row>
    <row r="7" spans="1:17" ht="30">
      <c r="A7" s="227" t="s">
        <v>212</v>
      </c>
      <c r="B7" s="227" t="s">
        <v>213</v>
      </c>
      <c r="C7" s="227" t="s">
        <v>214</v>
      </c>
      <c r="D7" s="227" t="s">
        <v>215</v>
      </c>
      <c r="E7" s="227" t="s">
        <v>216</v>
      </c>
      <c r="F7" s="228" t="s">
        <v>217</v>
      </c>
      <c r="G7" s="227" t="s">
        <v>218</v>
      </c>
      <c r="H7" s="228" t="s">
        <v>219</v>
      </c>
    </row>
    <row r="8" spans="1:17" ht="17.25">
      <c r="A8" s="371" t="s">
        <v>220</v>
      </c>
      <c r="B8" s="372" t="s">
        <v>221</v>
      </c>
      <c r="C8" s="229" t="s">
        <v>222</v>
      </c>
      <c r="D8" s="229"/>
      <c r="E8" s="229"/>
      <c r="F8" s="229"/>
      <c r="G8" s="229"/>
      <c r="H8" s="229"/>
    </row>
    <row r="9" spans="1:17" ht="17.25">
      <c r="A9" s="371"/>
      <c r="B9" s="372"/>
      <c r="C9" s="229" t="s">
        <v>223</v>
      </c>
      <c r="D9" s="229"/>
      <c r="E9" s="229"/>
      <c r="F9" s="229"/>
      <c r="G9" s="229"/>
      <c r="H9" s="229"/>
    </row>
    <row r="10" spans="1:17" ht="17.25">
      <c r="A10" s="371" t="s">
        <v>220</v>
      </c>
      <c r="B10" s="372" t="s">
        <v>224</v>
      </c>
      <c r="C10" s="229" t="s">
        <v>222</v>
      </c>
      <c r="D10" s="229"/>
      <c r="E10" s="229"/>
      <c r="F10" s="229"/>
      <c r="G10" s="229"/>
      <c r="H10" s="229"/>
    </row>
    <row r="11" spans="1:17" ht="17.25">
      <c r="A11" s="371"/>
      <c r="B11" s="372"/>
      <c r="C11" s="229" t="s">
        <v>225</v>
      </c>
      <c r="D11" s="229"/>
      <c r="E11" s="229"/>
      <c r="F11" s="229"/>
      <c r="G11" s="229"/>
      <c r="H11" s="229"/>
    </row>
    <row r="12" spans="1:17" ht="57">
      <c r="A12" s="231" t="s">
        <v>226</v>
      </c>
      <c r="B12" s="230" t="s">
        <v>227</v>
      </c>
      <c r="C12" s="229" t="s">
        <v>228</v>
      </c>
      <c r="D12" s="229"/>
      <c r="E12" s="229"/>
      <c r="F12" s="229"/>
      <c r="G12" s="229"/>
      <c r="H12" s="229"/>
    </row>
    <row r="13" spans="1:17" ht="17.25">
      <c r="A13" s="371" t="s">
        <v>229</v>
      </c>
      <c r="B13" s="371" t="s">
        <v>229</v>
      </c>
      <c r="C13" s="229" t="s">
        <v>230</v>
      </c>
      <c r="D13" s="229"/>
      <c r="E13" s="229"/>
      <c r="F13" s="229"/>
      <c r="G13" s="229"/>
      <c r="H13" s="229"/>
    </row>
    <row r="14" spans="1:17" ht="17.25">
      <c r="A14" s="371"/>
      <c r="B14" s="371"/>
      <c r="C14" s="229" t="s">
        <v>231</v>
      </c>
      <c r="D14" s="229"/>
      <c r="E14" s="229"/>
      <c r="F14" s="229"/>
      <c r="G14" s="229"/>
      <c r="H14" s="229"/>
    </row>
    <row r="15" spans="1:17" ht="17.25">
      <c r="A15" s="371"/>
      <c r="B15" s="371"/>
      <c r="C15" s="229" t="s">
        <v>232</v>
      </c>
      <c r="D15" s="229"/>
      <c r="E15" s="229"/>
      <c r="F15" s="229"/>
      <c r="G15" s="229"/>
      <c r="H15" s="229"/>
    </row>
    <row r="16" spans="1:17" ht="17.25">
      <c r="A16" s="371"/>
      <c r="B16" s="371"/>
      <c r="C16" s="229" t="s">
        <v>233</v>
      </c>
      <c r="D16" s="229"/>
      <c r="E16" s="229"/>
      <c r="F16" s="229"/>
      <c r="G16" s="229"/>
      <c r="H16" s="229"/>
    </row>
    <row r="18" spans="1:6" ht="17.25">
      <c r="A18" s="373" t="s">
        <v>234</v>
      </c>
      <c r="B18" s="373"/>
      <c r="C18" s="373"/>
      <c r="D18" s="373"/>
      <c r="E18" s="373"/>
      <c r="F18" s="373"/>
    </row>
    <row r="28" spans="1:6">
      <c r="A28" t="s">
        <v>235</v>
      </c>
    </row>
    <row r="61" spans="34:34">
      <c r="AH61" t="s">
        <v>236</v>
      </c>
    </row>
  </sheetData>
  <mergeCells count="11">
    <mergeCell ref="A1:H1"/>
    <mergeCell ref="A2:H2"/>
    <mergeCell ref="A3:H3"/>
    <mergeCell ref="A5:Q5"/>
    <mergeCell ref="A8:A9"/>
    <mergeCell ref="B8:B9"/>
    <mergeCell ref="A10:A11"/>
    <mergeCell ref="B10:B11"/>
    <mergeCell ref="A13:A16"/>
    <mergeCell ref="B13:B16"/>
    <mergeCell ref="A18:F18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L130"/>
  <sheetViews>
    <sheetView rightToLeft="1" view="pageBreakPreview" topLeftCell="A121" zoomScaleNormal="100" zoomScaleSheetLayoutView="100" workbookViewId="0">
      <selection activeCell="I136" sqref="I136"/>
    </sheetView>
  </sheetViews>
  <sheetFormatPr defaultColWidth="9.140625" defaultRowHeight="21.75"/>
  <cols>
    <col min="1" max="1" width="43" style="105" customWidth="1"/>
    <col min="2" max="2" width="0.7109375" style="105" customWidth="1"/>
    <col min="3" max="3" width="22.85546875" style="105" customWidth="1"/>
    <col min="4" max="4" width="0.7109375" style="105" customWidth="1"/>
    <col min="5" max="5" width="18.42578125" style="70" customWidth="1"/>
    <col min="6" max="6" width="1.42578125" style="70" customWidth="1"/>
    <col min="7" max="7" width="21.7109375" style="70" customWidth="1"/>
    <col min="8" max="8" width="1.42578125" style="70" customWidth="1"/>
    <col min="9" max="9" width="19.5703125" style="70" customWidth="1"/>
    <col min="10" max="10" width="1.28515625" style="105" customWidth="1"/>
    <col min="11" max="11" width="22" style="105" customWidth="1"/>
    <col min="12" max="12" width="0.7109375" style="105" customWidth="1"/>
    <col min="13" max="13" width="18" style="105" customWidth="1"/>
    <col min="14" max="14" width="15.28515625" style="105" bestFit="1" customWidth="1"/>
    <col min="15" max="16384" width="9.140625" style="105"/>
  </cols>
  <sheetData>
    <row r="1" spans="1:12" ht="22.5">
      <c r="A1" s="365" t="s">
        <v>80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22.5">
      <c r="A2" s="365" t="s">
        <v>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22.5">
      <c r="A3" s="365" t="str">
        <f>' سهام'!A3:W3</f>
        <v>برای ماه منتهی به 1403/09/30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1:12">
      <c r="A4" s="328" t="s">
        <v>325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</row>
    <row r="5" spans="1:12" ht="22.5" thickBot="1">
      <c r="A5" s="132"/>
      <c r="B5" s="132"/>
      <c r="C5" s="132"/>
      <c r="D5" s="131"/>
      <c r="E5" s="63"/>
      <c r="F5" s="63"/>
      <c r="G5" s="63"/>
      <c r="H5" s="63"/>
      <c r="I5" s="63"/>
      <c r="J5" s="132"/>
      <c r="K5" s="132"/>
      <c r="L5" s="132"/>
    </row>
    <row r="6" spans="1:12" ht="37.5" customHeight="1" thickBot="1">
      <c r="A6" s="375" t="s">
        <v>18</v>
      </c>
      <c r="B6" s="375"/>
      <c r="C6" s="375"/>
      <c r="D6" s="135"/>
      <c r="E6" s="376" t="s">
        <v>292</v>
      </c>
      <c r="F6" s="376"/>
      <c r="G6" s="376"/>
      <c r="H6" s="376"/>
      <c r="I6" s="375" t="s">
        <v>294</v>
      </c>
      <c r="J6" s="375"/>
      <c r="K6" s="375"/>
      <c r="L6" s="375"/>
    </row>
    <row r="7" spans="1:12" ht="37.5">
      <c r="A7" s="175" t="s">
        <v>14</v>
      </c>
      <c r="B7" s="135"/>
      <c r="C7" s="175" t="s">
        <v>9</v>
      </c>
      <c r="D7" s="171"/>
      <c r="E7" s="81" t="s">
        <v>15</v>
      </c>
      <c r="F7" s="82"/>
      <c r="G7" s="81" t="s">
        <v>16</v>
      </c>
      <c r="H7" s="83"/>
      <c r="I7" s="81" t="s">
        <v>15</v>
      </c>
      <c r="J7" s="135"/>
      <c r="K7" s="175" t="s">
        <v>16</v>
      </c>
      <c r="L7" s="135"/>
    </row>
    <row r="8" spans="1:12">
      <c r="A8" s="176" t="s">
        <v>99</v>
      </c>
      <c r="B8" s="135"/>
      <c r="C8" s="181">
        <v>228580617005</v>
      </c>
      <c r="D8" s="171"/>
      <c r="E8" s="66">
        <f>VLOOKUP(A8,'سود سپرده بانکی'!$A$7:$N$127,8,0)</f>
        <v>2412</v>
      </c>
      <c r="F8" s="82"/>
      <c r="G8" s="104">
        <f>E8/$E$129</f>
        <v>1.7111957002111379E-7</v>
      </c>
      <c r="H8" s="90"/>
      <c r="I8" s="66">
        <f>VLOOKUP(A8,'سود سپرده بانکی'!$A$7:$N$127,14,0)</f>
        <v>28855</v>
      </c>
      <c r="J8" s="135"/>
      <c r="K8" s="104">
        <f>I8/$I$129</f>
        <v>1.0945544710241537E-7</v>
      </c>
      <c r="L8" s="135"/>
    </row>
    <row r="9" spans="1:12">
      <c r="A9" s="176" t="s">
        <v>93</v>
      </c>
      <c r="B9" s="135"/>
      <c r="C9" s="181">
        <v>-310058720239</v>
      </c>
      <c r="D9" s="171"/>
      <c r="E9" s="66">
        <f>VLOOKUP(A9,'سود سپرده بانکی'!$A$7:$N$127,8,0)</f>
        <v>25390</v>
      </c>
      <c r="F9" s="82"/>
      <c r="G9" s="104">
        <f t="shared" ref="G9:G72" si="0">E9/$E$129</f>
        <v>1.8012959713250742E-6</v>
      </c>
      <c r="H9" s="90"/>
      <c r="I9" s="66">
        <f>VLOOKUP(A9,'سود سپرده بانکی'!$A$7:$N$127,14,0)</f>
        <v>8575902916</v>
      </c>
      <c r="J9" s="135"/>
      <c r="K9" s="104">
        <f t="shared" ref="K9:K72" si="1">I9/$I$129</f>
        <v>3.2530905838769282E-2</v>
      </c>
      <c r="L9" s="135"/>
    </row>
    <row r="10" spans="1:12">
      <c r="A10" s="176" t="s">
        <v>142</v>
      </c>
      <c r="B10" s="135"/>
      <c r="C10" s="181">
        <v>5600931334165</v>
      </c>
      <c r="D10" s="171"/>
      <c r="E10" s="66">
        <f>VLOOKUP(A10,'سود سپرده بانکی'!$A$7:$N$127,8,0)</f>
        <v>0</v>
      </c>
      <c r="F10" s="82"/>
      <c r="G10" s="104">
        <f t="shared" si="0"/>
        <v>0</v>
      </c>
      <c r="H10" s="90"/>
      <c r="I10" s="66">
        <f>VLOOKUP(A10,'سود سپرده بانکی'!$A$7:$N$127,14,0)</f>
        <v>1145690481.0280373</v>
      </c>
      <c r="J10" s="135"/>
      <c r="K10" s="104">
        <f t="shared" si="1"/>
        <v>4.3459387919565122E-3</v>
      </c>
      <c r="L10" s="135"/>
    </row>
    <row r="11" spans="1:12">
      <c r="A11" s="176" t="s">
        <v>103</v>
      </c>
      <c r="B11" s="7"/>
      <c r="C11" s="181">
        <v>5600931334082</v>
      </c>
      <c r="D11" s="7"/>
      <c r="E11" s="66">
        <f>VLOOKUP(A11,'سود سپرده بانکی'!$A$7:$N$127,8,0)</f>
        <v>0</v>
      </c>
      <c r="F11" s="7"/>
      <c r="G11" s="104">
        <f t="shared" si="0"/>
        <v>0</v>
      </c>
      <c r="H11" s="7"/>
      <c r="I11" s="66">
        <f>VLOOKUP(A11,'سود سپرده بانکی'!$A$7:$N$127,14,0)</f>
        <v>10554357.980769232</v>
      </c>
      <c r="J11" s="7"/>
      <c r="K11" s="104">
        <f t="shared" si="1"/>
        <v>4.0035764050044782E-5</v>
      </c>
      <c r="L11" s="135"/>
    </row>
    <row r="12" spans="1:12">
      <c r="A12" s="176" t="s">
        <v>105</v>
      </c>
      <c r="B12" s="7"/>
      <c r="C12" s="181">
        <v>5600931334074</v>
      </c>
      <c r="D12" s="7"/>
      <c r="E12" s="66">
        <f>VLOOKUP(A12,'سود سپرده بانکی'!$A$7:$N$127,8,0)</f>
        <v>0</v>
      </c>
      <c r="F12" s="7"/>
      <c r="G12" s="104">
        <f t="shared" si="0"/>
        <v>0</v>
      </c>
      <c r="H12" s="7"/>
      <c r="I12" s="66">
        <f>VLOOKUP(A12,'سود سپرده بانکی'!$A$7:$N$127,14,0)</f>
        <v>13592275.961538462</v>
      </c>
      <c r="J12" s="7"/>
      <c r="K12" s="104">
        <f t="shared" si="1"/>
        <v>5.1559474701424543E-5</v>
      </c>
      <c r="L12" s="135"/>
    </row>
    <row r="13" spans="1:12">
      <c r="A13" s="176" t="s">
        <v>145</v>
      </c>
      <c r="B13" s="135"/>
      <c r="C13" s="181">
        <v>5600929335463</v>
      </c>
      <c r="D13" s="171"/>
      <c r="E13" s="66">
        <f>VLOOKUP(A13,'سود سپرده بانکی'!$A$7:$N$127,8,0)</f>
        <v>0</v>
      </c>
      <c r="F13" s="82"/>
      <c r="G13" s="104">
        <f t="shared" si="0"/>
        <v>0</v>
      </c>
      <c r="H13" s="90"/>
      <c r="I13" s="66">
        <f>VLOOKUP(A13,'سود سپرده بانکی'!$A$7:$N$127,14,0)</f>
        <v>11624457203.831776</v>
      </c>
      <c r="J13" s="135"/>
      <c r="K13" s="104">
        <f t="shared" si="1"/>
        <v>4.4094963111013692E-2</v>
      </c>
      <c r="L13" s="135"/>
    </row>
    <row r="14" spans="1:12">
      <c r="A14" s="176" t="s">
        <v>111</v>
      </c>
      <c r="B14" s="135"/>
      <c r="C14" s="181">
        <v>5600929334698</v>
      </c>
      <c r="D14" s="171"/>
      <c r="E14" s="66">
        <f>VLOOKUP(A14,'سود سپرده بانکی'!$A$7:$N$127,8,0)</f>
        <v>0</v>
      </c>
      <c r="F14" s="82"/>
      <c r="G14" s="104">
        <f t="shared" si="0"/>
        <v>0</v>
      </c>
      <c r="H14" s="90"/>
      <c r="I14" s="66">
        <f>VLOOKUP(A14,'سود سپرده بانکی'!$A$7:$N$127,14,0)</f>
        <v>3312018277.5862069</v>
      </c>
      <c r="J14" s="135"/>
      <c r="K14" s="104">
        <f t="shared" si="1"/>
        <v>1.2563453175691212E-2</v>
      </c>
      <c r="L14" s="135"/>
    </row>
    <row r="15" spans="1:12">
      <c r="A15" s="176" t="s">
        <v>109</v>
      </c>
      <c r="B15" s="135"/>
      <c r="C15" s="181">
        <v>5600929334672</v>
      </c>
      <c r="D15" s="171"/>
      <c r="E15" s="66">
        <f>VLOOKUP(A15,'سود سپرده بانکی'!$A$7:$N$127,8,0)</f>
        <v>0</v>
      </c>
      <c r="F15" s="82"/>
      <c r="G15" s="104">
        <f t="shared" si="0"/>
        <v>0</v>
      </c>
      <c r="H15" s="90"/>
      <c r="I15" s="66">
        <f>VLOOKUP(A15,'سود سپرده بانکی'!$A$7:$N$127,14,0)</f>
        <v>2858263320.6896553</v>
      </c>
      <c r="J15" s="135"/>
      <c r="K15" s="104">
        <f t="shared" si="1"/>
        <v>1.0842228026425945E-2</v>
      </c>
      <c r="L15" s="135"/>
    </row>
    <row r="16" spans="1:12">
      <c r="A16" s="176" t="s">
        <v>297</v>
      </c>
      <c r="B16" s="135"/>
      <c r="C16" s="181" t="s">
        <v>301</v>
      </c>
      <c r="D16" s="171"/>
      <c r="E16" s="66">
        <f>VLOOKUP(A16,'سود سپرده بانکی'!$A$7:$N$127,8,0)</f>
        <v>60485950</v>
      </c>
      <c r="F16" s="82"/>
      <c r="G16" s="104">
        <f t="shared" si="0"/>
        <v>4.2911814910110233E-3</v>
      </c>
      <c r="H16" s="90"/>
      <c r="I16" s="66">
        <f>VLOOKUP(A16,'سود سپرده بانکی'!$A$17:$N$127,14,0)</f>
        <v>60485950</v>
      </c>
      <c r="J16" s="135"/>
      <c r="K16" s="104">
        <f t="shared" si="1"/>
        <v>2.2944088375201319E-4</v>
      </c>
      <c r="L16" s="135"/>
    </row>
    <row r="17" spans="1:12">
      <c r="A17" s="176" t="s">
        <v>98</v>
      </c>
      <c r="B17" s="135"/>
      <c r="C17" s="181">
        <v>217918818004</v>
      </c>
      <c r="D17" s="171"/>
      <c r="E17" s="66">
        <f>VLOOKUP(A17,'سود سپرده بانکی'!$A$7:$N$127,8,0)</f>
        <v>5475790152</v>
      </c>
      <c r="F17" s="82"/>
      <c r="G17" s="104">
        <f t="shared" si="0"/>
        <v>0.38848045453403368</v>
      </c>
      <c r="H17" s="90"/>
      <c r="I17" s="66">
        <f>VLOOKUP(A17,'سود سپرده بانکی'!$A$17:$N$127,14,0)</f>
        <v>2078404385.5</v>
      </c>
      <c r="J17" s="135"/>
      <c r="K17" s="104">
        <f t="shared" si="1"/>
        <v>7.8839951923244979E-3</v>
      </c>
      <c r="L17" s="135"/>
    </row>
    <row r="18" spans="1:12">
      <c r="A18" s="176" t="s">
        <v>96</v>
      </c>
      <c r="B18" s="135"/>
      <c r="C18" s="260" t="s">
        <v>288</v>
      </c>
      <c r="D18" s="171"/>
      <c r="E18" s="66">
        <f>VLOOKUP(A18,'سود سپرده بانکی'!$A$7:$N$127,8,0)</f>
        <v>5675</v>
      </c>
      <c r="F18" s="82"/>
      <c r="G18" s="104">
        <f t="shared" si="0"/>
        <v>4.0261341619810145E-7</v>
      </c>
      <c r="H18" s="90"/>
      <c r="I18" s="66">
        <f>VLOOKUP(A18,'سود سپرده بانکی'!$A$17:$N$127,14,0)</f>
        <v>106228</v>
      </c>
      <c r="J18" s="135"/>
      <c r="K18" s="104">
        <f t="shared" si="1"/>
        <v>4.0295384629337655E-7</v>
      </c>
      <c r="L18" s="135"/>
    </row>
    <row r="19" spans="1:12">
      <c r="A19" s="176" t="s">
        <v>104</v>
      </c>
      <c r="B19" s="135"/>
      <c r="C19" s="260">
        <v>359490219</v>
      </c>
      <c r="D19" s="171"/>
      <c r="E19" s="66">
        <f>VLOOKUP(A19,'سود سپرده بانکی'!$A$7:$N$127,8,0)</f>
        <v>1422</v>
      </c>
      <c r="F19" s="82"/>
      <c r="G19" s="104">
        <f t="shared" si="0"/>
        <v>1.0088392560946261E-7</v>
      </c>
      <c r="H19" s="90"/>
      <c r="I19" s="66">
        <f>VLOOKUP(A19,'سود سپرده بانکی'!$A$17:$N$127,14,0)</f>
        <v>28122</v>
      </c>
      <c r="J19" s="135"/>
      <c r="K19" s="104">
        <f t="shared" si="1"/>
        <v>1.0667496390275949E-7</v>
      </c>
      <c r="L19" s="135"/>
    </row>
    <row r="20" spans="1:12">
      <c r="A20" s="176" t="s">
        <v>124</v>
      </c>
      <c r="B20" s="135"/>
      <c r="C20" s="260">
        <v>104458815</v>
      </c>
      <c r="D20" s="171"/>
      <c r="E20" s="66">
        <f>VLOOKUP(A20,'سود سپرده بانکی'!$A$7:$N$127,8,0)</f>
        <v>114954441.69899663</v>
      </c>
      <c r="F20" s="82"/>
      <c r="G20" s="104">
        <f t="shared" si="0"/>
        <v>8.1554538290006199E-3</v>
      </c>
      <c r="H20" s="90"/>
      <c r="I20" s="66">
        <f>VLOOKUP(A20,'سود سپرده بانکی'!$A$17:$N$127,14,0)</f>
        <v>276756</v>
      </c>
      <c r="J20" s="135"/>
      <c r="K20" s="104">
        <f t="shared" si="1"/>
        <v>1.0498163825429238E-6</v>
      </c>
      <c r="L20" s="135"/>
    </row>
    <row r="21" spans="1:12">
      <c r="A21" s="176" t="s">
        <v>130</v>
      </c>
      <c r="B21" s="135"/>
      <c r="C21" s="260">
        <v>6174547090</v>
      </c>
      <c r="D21" s="171"/>
      <c r="E21" s="66">
        <f>VLOOKUP(A21,'سود سپرده بانکی'!$A$7:$N$127,8,0)</f>
        <v>0</v>
      </c>
      <c r="F21" s="82"/>
      <c r="G21" s="104">
        <f t="shared" si="0"/>
        <v>0</v>
      </c>
      <c r="H21" s="90"/>
      <c r="I21" s="66">
        <f>VLOOKUP(A21,'سود سپرده بانکی'!$A$17:$N$127,14,0)</f>
        <v>2568975880</v>
      </c>
      <c r="J21" s="135"/>
      <c r="K21" s="104">
        <f t="shared" si="1"/>
        <v>9.7448762273686009E-3</v>
      </c>
      <c r="L21" s="135"/>
    </row>
    <row r="22" spans="1:12">
      <c r="A22" s="176" t="s">
        <v>123</v>
      </c>
      <c r="B22" s="135"/>
      <c r="C22" s="260" t="s">
        <v>302</v>
      </c>
      <c r="D22" s="171"/>
      <c r="E22" s="66">
        <f>VLOOKUP(A22,'سود سپرده بانکی'!$A$7:$N$127,8,0)</f>
        <v>9338</v>
      </c>
      <c r="F22" s="82"/>
      <c r="G22" s="104">
        <f t="shared" si="0"/>
        <v>6.6248530052121087E-7</v>
      </c>
      <c r="H22" s="90"/>
      <c r="I22" s="66">
        <f>VLOOKUP(A22,'سود سپرده بانکی'!$A$17:$N$127,14,0)</f>
        <v>10318678032</v>
      </c>
      <c r="J22" s="135"/>
      <c r="K22" s="104">
        <f t="shared" si="1"/>
        <v>3.9141761133198109E-2</v>
      </c>
      <c r="L22" s="135"/>
    </row>
    <row r="23" spans="1:12">
      <c r="A23" s="176" t="s">
        <v>131</v>
      </c>
      <c r="B23" s="7"/>
      <c r="C23" s="181">
        <v>2093071522726810</v>
      </c>
      <c r="D23" s="7"/>
      <c r="E23" s="66">
        <f>VLOOKUP(A23,'سود سپرده بانکی'!$A$7:$N$127,8,0)</f>
        <v>0</v>
      </c>
      <c r="F23" s="7"/>
      <c r="G23" s="104">
        <f t="shared" si="0"/>
        <v>0</v>
      </c>
      <c r="H23" s="7"/>
      <c r="I23" s="66">
        <f>VLOOKUP(A23,'سود سپرده بانکی'!$A$17:$N$127,14,0)</f>
        <v>2904567523.3333335</v>
      </c>
      <c r="J23" s="7"/>
      <c r="K23" s="104">
        <f t="shared" si="1"/>
        <v>1.1017873398218863E-2</v>
      </c>
      <c r="L23" s="135"/>
    </row>
    <row r="24" spans="1:12">
      <c r="A24" s="176" t="s">
        <v>126</v>
      </c>
      <c r="B24" s="7"/>
      <c r="C24" s="181">
        <v>2093071522726810</v>
      </c>
      <c r="D24" s="7"/>
      <c r="E24" s="66">
        <f>VLOOKUP(A24,'سود سپرده بانکی'!$A$7:$N$127,8,0)</f>
        <v>0</v>
      </c>
      <c r="F24" s="7"/>
      <c r="G24" s="104">
        <f t="shared" si="0"/>
        <v>0</v>
      </c>
      <c r="H24" s="7"/>
      <c r="I24" s="66">
        <f>VLOOKUP(A24,'سود سپرده بانکی'!$A$17:$N$127,14,0)</f>
        <v>1208835618.3333333</v>
      </c>
      <c r="J24" s="7"/>
      <c r="K24" s="104">
        <f t="shared" si="1"/>
        <v>4.5854667502339191E-3</v>
      </c>
      <c r="L24" s="135"/>
    </row>
    <row r="25" spans="1:12">
      <c r="A25" s="176" t="s">
        <v>116</v>
      </c>
      <c r="B25" s="7"/>
      <c r="C25" s="181">
        <v>2093071522726810</v>
      </c>
      <c r="D25" s="7"/>
      <c r="E25" s="66">
        <f>VLOOKUP(A25,'سود سپرده بانکی'!$A$7:$N$127,8,0)</f>
        <v>0</v>
      </c>
      <c r="F25" s="7"/>
      <c r="G25" s="104">
        <f t="shared" si="0"/>
        <v>0</v>
      </c>
      <c r="H25" s="7"/>
      <c r="I25" s="66">
        <f>VLOOKUP(A25,'سود سپرده بانکی'!$A$17:$N$127,14,0)</f>
        <v>883561645</v>
      </c>
      <c r="J25" s="7"/>
      <c r="K25" s="104">
        <f t="shared" si="1"/>
        <v>3.3516075167569089E-3</v>
      </c>
      <c r="L25" s="135"/>
    </row>
    <row r="26" spans="1:12">
      <c r="A26" s="176" t="s">
        <v>117</v>
      </c>
      <c r="B26" s="7"/>
      <c r="C26" s="181">
        <v>2093071522726810</v>
      </c>
      <c r="D26" s="7"/>
      <c r="E26" s="66">
        <f>VLOOKUP(A26,'سود سپرده بانکی'!$A$7:$N$127,8,0)</f>
        <v>0</v>
      </c>
      <c r="F26" s="7"/>
      <c r="G26" s="104">
        <f t="shared" si="0"/>
        <v>0</v>
      </c>
      <c r="H26" s="7"/>
      <c r="I26" s="66">
        <f>VLOOKUP(A26,'سود سپرده بانکی'!$A$17:$N$127,14,0)</f>
        <v>140235401.03773585</v>
      </c>
      <c r="J26" s="7"/>
      <c r="K26" s="104">
        <f t="shared" si="1"/>
        <v>5.3195385618339636E-4</v>
      </c>
      <c r="L26" s="135"/>
    </row>
    <row r="27" spans="1:12">
      <c r="A27" s="176" t="s">
        <v>128</v>
      </c>
      <c r="B27" s="7"/>
      <c r="C27" s="181">
        <v>209306152272683</v>
      </c>
      <c r="D27" s="7"/>
      <c r="E27" s="66">
        <f>VLOOKUP(A27,'سود سپرده بانکی'!$A$7:$N$127,8,0)</f>
        <v>0</v>
      </c>
      <c r="F27" s="7"/>
      <c r="G27" s="104">
        <f t="shared" si="0"/>
        <v>0</v>
      </c>
      <c r="H27" s="7"/>
      <c r="I27" s="66">
        <f>VLOOKUP(A27,'سود سپرده بانکی'!$A$17:$N$127,14,0)</f>
        <v>40068495</v>
      </c>
      <c r="J27" s="7"/>
      <c r="K27" s="104">
        <f t="shared" si="1"/>
        <v>1.5199151048157666E-4</v>
      </c>
      <c r="L27" s="135"/>
    </row>
    <row r="28" spans="1:12">
      <c r="A28" s="176" t="s">
        <v>119</v>
      </c>
      <c r="B28" s="7"/>
      <c r="C28" s="181">
        <v>209306152272682</v>
      </c>
      <c r="D28" s="7"/>
      <c r="E28" s="66">
        <f>VLOOKUP(A28,'سود سپرده بانکی'!$A$7:$N$127,8,0)</f>
        <v>0</v>
      </c>
      <c r="F28" s="7"/>
      <c r="G28" s="104">
        <f t="shared" si="0"/>
        <v>0</v>
      </c>
      <c r="H28" s="7"/>
      <c r="I28" s="66">
        <f>VLOOKUP(A28,'سود سپرده بانکی'!$A$17:$N$127,14,0)</f>
        <v>51828902.830188677</v>
      </c>
      <c r="J28" s="7"/>
      <c r="K28" s="104">
        <f t="shared" si="1"/>
        <v>1.9660217404629849E-4</v>
      </c>
      <c r="L28" s="135"/>
    </row>
    <row r="29" spans="1:12">
      <c r="A29" s="176" t="s">
        <v>286</v>
      </c>
      <c r="B29" s="7"/>
      <c r="C29" s="181">
        <v>209303152272683</v>
      </c>
      <c r="D29" s="7"/>
      <c r="E29" s="66">
        <f>VLOOKUP(A29,'سود سپرده بانکی'!$A$7:$N$127,8,0)</f>
        <v>4601034153</v>
      </c>
      <c r="F29" s="7"/>
      <c r="G29" s="104">
        <f t="shared" si="0"/>
        <v>0.32642080676360674</v>
      </c>
      <c r="H29" s="7"/>
      <c r="I29" s="66">
        <f>VLOOKUP(A29,'سود سپرده بانکی'!$A$17:$N$127,14,0)</f>
        <v>4669515049.25</v>
      </c>
      <c r="J29" s="7"/>
      <c r="K29" s="104">
        <f t="shared" si="1"/>
        <v>1.7712835122755705E-2</v>
      </c>
      <c r="L29" s="135"/>
    </row>
    <row r="30" spans="1:12">
      <c r="A30" s="176" t="s">
        <v>118</v>
      </c>
      <c r="B30" s="7"/>
      <c r="C30" s="181">
        <v>2093071522726810</v>
      </c>
      <c r="D30" s="7"/>
      <c r="E30" s="66">
        <f>VLOOKUP(A30,'سود سپرده بانکی'!$A$7:$N$127,8,0)</f>
        <v>0</v>
      </c>
      <c r="F30" s="7"/>
      <c r="G30" s="104">
        <f t="shared" si="0"/>
        <v>0</v>
      </c>
      <c r="H30" s="7"/>
      <c r="I30" s="66">
        <f>VLOOKUP(A30,'سود سپرده بانکی'!$A$17:$N$127,14,0)</f>
        <v>80136988.301886797</v>
      </c>
      <c r="J30" s="7"/>
      <c r="K30" s="104">
        <f t="shared" si="1"/>
        <v>3.0398301452171371E-4</v>
      </c>
      <c r="L30" s="135"/>
    </row>
    <row r="31" spans="1:12">
      <c r="A31" s="176" t="s">
        <v>193</v>
      </c>
      <c r="B31" s="7"/>
      <c r="C31" s="181">
        <v>5600887334805</v>
      </c>
      <c r="D31" s="7"/>
      <c r="E31" s="66">
        <f>VLOOKUP(A31,'سود سپرده بانکی'!$A$7:$N$127,8,0)</f>
        <v>0</v>
      </c>
      <c r="F31" s="7"/>
      <c r="G31" s="104">
        <f t="shared" si="0"/>
        <v>0</v>
      </c>
      <c r="H31" s="7"/>
      <c r="I31" s="66">
        <f>VLOOKUP(A31,'سود سپرده بانکی'!$A$7:$N$127,14,0)</f>
        <v>3967667780.2500005</v>
      </c>
      <c r="J31" s="7"/>
      <c r="K31" s="104">
        <f t="shared" si="1"/>
        <v>1.5050523335335703E-2</v>
      </c>
      <c r="L31" s="135"/>
    </row>
    <row r="32" spans="1:12">
      <c r="A32" s="176" t="s">
        <v>194</v>
      </c>
      <c r="B32" s="7"/>
      <c r="C32" s="181">
        <v>5600887334755</v>
      </c>
      <c r="D32" s="7"/>
      <c r="E32" s="66">
        <f>VLOOKUP(A32,'سود سپرده بانکی'!$A$7:$N$127,8,0)</f>
        <v>0</v>
      </c>
      <c r="F32" s="7"/>
      <c r="G32" s="104">
        <f t="shared" si="0"/>
        <v>0</v>
      </c>
      <c r="H32" s="7"/>
      <c r="I32" s="66">
        <f>VLOOKUP(A32,'سود سپرده بانکی'!$A$7:$N$127,14,0)</f>
        <v>11550436336.500002</v>
      </c>
      <c r="J32" s="7"/>
      <c r="K32" s="104">
        <f t="shared" si="1"/>
        <v>4.3814180330604482E-2</v>
      </c>
      <c r="L32" s="135"/>
    </row>
    <row r="33" spans="1:12">
      <c r="A33" s="176" t="s">
        <v>129</v>
      </c>
      <c r="B33" s="7"/>
      <c r="C33" s="181">
        <v>406996080002</v>
      </c>
      <c r="D33" s="7"/>
      <c r="E33" s="66">
        <f>VLOOKUP(A33,'سود سپرده بانکی'!$A$7:$N$127,8,0)</f>
        <v>0</v>
      </c>
      <c r="F33" s="7"/>
      <c r="G33" s="104">
        <f t="shared" si="0"/>
        <v>0</v>
      </c>
      <c r="H33" s="7"/>
      <c r="I33" s="66">
        <f>VLOOKUP(A33,'سود سپرده بانکی'!$A$17:$N$127,14,0)</f>
        <v>920809462.924528</v>
      </c>
      <c r="J33" s="7"/>
      <c r="K33" s="104">
        <f t="shared" si="1"/>
        <v>3.4928993748237457E-3</v>
      </c>
      <c r="L33" s="135"/>
    </row>
    <row r="34" spans="1:12">
      <c r="A34" s="176" t="s">
        <v>137</v>
      </c>
      <c r="B34" s="135"/>
      <c r="C34" s="181">
        <v>7001003242019</v>
      </c>
      <c r="D34" s="171"/>
      <c r="E34" s="66">
        <f>VLOOKUP(A34,'سود سپرده بانکی'!$A$7:$N$127,8,0)</f>
        <v>5479</v>
      </c>
      <c r="F34" s="82"/>
      <c r="G34" s="104">
        <f t="shared" si="0"/>
        <v>3.8870817750650182E-7</v>
      </c>
      <c r="H34" s="90"/>
      <c r="I34" s="66">
        <f>VLOOKUP(A34,'سود سپرده بانکی'!$A$17:$N$127,14,0)</f>
        <v>297015542</v>
      </c>
      <c r="J34" s="135"/>
      <c r="K34" s="104">
        <f t="shared" si="1"/>
        <v>1.1266667456585073E-3</v>
      </c>
      <c r="L34" s="135"/>
    </row>
    <row r="35" spans="1:12">
      <c r="A35" s="176" t="s">
        <v>186</v>
      </c>
      <c r="B35" s="135"/>
      <c r="C35" s="181">
        <v>7001003631872</v>
      </c>
      <c r="D35" s="171"/>
      <c r="E35" s="66">
        <f>VLOOKUP(A35,'سود سپرده بانکی'!$A$7:$N$127,8,0)</f>
        <v>366515753</v>
      </c>
      <c r="F35" s="82"/>
      <c r="G35" s="104">
        <f t="shared" si="0"/>
        <v>2.6002495049471289E-2</v>
      </c>
      <c r="H35" s="90"/>
      <c r="I35" s="66">
        <f>VLOOKUP(A35,'سود سپرده بانکی'!$A$17:$N$127,14,0)</f>
        <v>7124428669</v>
      </c>
      <c r="J35" s="135"/>
      <c r="K35" s="104">
        <f t="shared" si="1"/>
        <v>2.7025039865349543E-2</v>
      </c>
      <c r="L35" s="135"/>
    </row>
    <row r="36" spans="1:12">
      <c r="A36" s="176" t="s">
        <v>180</v>
      </c>
      <c r="B36" s="135"/>
      <c r="C36" s="181">
        <v>7001003527918</v>
      </c>
      <c r="D36" s="171"/>
      <c r="E36" s="66">
        <f>VLOOKUP(A36,'سود سپرده بانکی'!$A$7:$N$127,8,0)</f>
        <v>0</v>
      </c>
      <c r="F36" s="82"/>
      <c r="G36" s="104">
        <f t="shared" si="0"/>
        <v>0</v>
      </c>
      <c r="H36" s="90"/>
      <c r="I36" s="66">
        <f>VLOOKUP(A36,'سود سپرده بانکی'!$A$17:$N$127,14,0)</f>
        <v>825800240</v>
      </c>
      <c r="J36" s="135"/>
      <c r="K36" s="104">
        <f t="shared" si="1"/>
        <v>3.1325016283653409E-3</v>
      </c>
      <c r="L36" s="135"/>
    </row>
    <row r="37" spans="1:12">
      <c r="A37" s="176" t="s">
        <v>261</v>
      </c>
      <c r="B37" s="135"/>
      <c r="C37" s="181">
        <v>7001004144961</v>
      </c>
      <c r="D37" s="171"/>
      <c r="E37" s="66">
        <f>VLOOKUP(A37,'سود سپرده بانکی'!$A$7:$N$127,8,0)</f>
        <v>64106507</v>
      </c>
      <c r="F37" s="82"/>
      <c r="G37" s="104">
        <f t="shared" si="0"/>
        <v>4.5480422526515425E-3</v>
      </c>
      <c r="H37" s="90"/>
      <c r="I37" s="66">
        <f>VLOOKUP(A37,'سود سپرده بانکی'!$A$17:$N$127,14,0)</f>
        <v>243329303</v>
      </c>
      <c r="J37" s="135"/>
      <c r="K37" s="104">
        <f t="shared" si="1"/>
        <v>9.2301915276326815E-4</v>
      </c>
      <c r="L37" s="135"/>
    </row>
    <row r="38" spans="1:12">
      <c r="A38" s="176" t="s">
        <v>262</v>
      </c>
      <c r="B38" s="135"/>
      <c r="C38" s="181">
        <v>7001004144924</v>
      </c>
      <c r="D38" s="171"/>
      <c r="E38" s="66">
        <f>VLOOKUP(A38,'سود سپرده بانکی'!$A$7:$N$127,8,0)</f>
        <v>0</v>
      </c>
      <c r="F38" s="82"/>
      <c r="G38" s="104">
        <f t="shared" si="0"/>
        <v>0</v>
      </c>
      <c r="H38" s="90"/>
      <c r="I38" s="66">
        <f>VLOOKUP(A38,'سود سپرده بانکی'!$A$17:$N$127,14,0)</f>
        <v>31375480</v>
      </c>
      <c r="J38" s="135"/>
      <c r="K38" s="104">
        <f t="shared" si="1"/>
        <v>1.190163642853194E-4</v>
      </c>
      <c r="L38" s="135"/>
    </row>
    <row r="39" spans="1:12">
      <c r="A39" s="176" t="s">
        <v>263</v>
      </c>
      <c r="B39" s="135"/>
      <c r="C39" s="181">
        <v>7001004144875</v>
      </c>
      <c r="D39" s="171"/>
      <c r="E39" s="66">
        <f>VLOOKUP(A39,'سود سپرده بانکی'!$A$7:$N$127,8,0)</f>
        <v>75405822</v>
      </c>
      <c r="F39" s="82"/>
      <c r="G39" s="104">
        <f t="shared" si="0"/>
        <v>5.3496732328891551E-3</v>
      </c>
      <c r="H39" s="90"/>
      <c r="I39" s="66">
        <f>VLOOKUP(A39,'سود سپرده بانکی'!$A$17:$N$127,14,0)</f>
        <v>286218129</v>
      </c>
      <c r="J39" s="135"/>
      <c r="K39" s="104">
        <f t="shared" si="1"/>
        <v>1.0857090028941882E-3</v>
      </c>
      <c r="L39" s="135"/>
    </row>
    <row r="40" spans="1:12">
      <c r="A40" s="176" t="s">
        <v>264</v>
      </c>
      <c r="B40" s="135"/>
      <c r="C40" s="181">
        <v>7001004144835</v>
      </c>
      <c r="D40" s="171"/>
      <c r="E40" s="66">
        <f>VLOOKUP(A40,'سود سپرده بانکی'!$A$7:$N$127,8,0)</f>
        <v>397935616</v>
      </c>
      <c r="F40" s="82"/>
      <c r="G40" s="104">
        <f t="shared" si="0"/>
        <v>2.8231580226371081E-2</v>
      </c>
      <c r="H40" s="90"/>
      <c r="I40" s="66">
        <f>VLOOKUP(A40,'سود سپرده بانکی'!$A$17:$N$127,14,0)</f>
        <v>1533493010</v>
      </c>
      <c r="J40" s="135"/>
      <c r="K40" s="104">
        <f t="shared" si="1"/>
        <v>5.816987109269753E-3</v>
      </c>
      <c r="L40" s="135"/>
    </row>
    <row r="41" spans="1:12">
      <c r="A41" s="176" t="s">
        <v>265</v>
      </c>
      <c r="B41" s="7"/>
      <c r="C41" s="181">
        <v>7001004144834</v>
      </c>
      <c r="D41" s="7"/>
      <c r="E41" s="66">
        <f>VLOOKUP(A41,'سود سپرده بانکی'!$A$7:$N$127,8,0)</f>
        <v>755759591</v>
      </c>
      <c r="F41" s="7"/>
      <c r="G41" s="104">
        <f t="shared" si="0"/>
        <v>5.3617436256738316E-2</v>
      </c>
      <c r="H41" s="7"/>
      <c r="I41" s="66">
        <f>VLOOKUP(A41,'سود سپرده بانکی'!$A$17:$N$127,14,0)</f>
        <v>2977292711</v>
      </c>
      <c r="J41" s="7"/>
      <c r="K41" s="104">
        <f t="shared" si="1"/>
        <v>1.1293741287030579E-2</v>
      </c>
      <c r="L41" s="135"/>
    </row>
    <row r="42" spans="1:12">
      <c r="A42" s="176" t="s">
        <v>195</v>
      </c>
      <c r="B42" s="7"/>
      <c r="C42" s="181">
        <v>7001003694404</v>
      </c>
      <c r="D42" s="7"/>
      <c r="E42" s="66">
        <f>VLOOKUP(A42,'سود سپرده بانکی'!$A$7:$N$127,8,0)</f>
        <v>0</v>
      </c>
      <c r="F42" s="7"/>
      <c r="G42" s="104">
        <f t="shared" si="0"/>
        <v>0</v>
      </c>
      <c r="H42" s="7"/>
      <c r="I42" s="66">
        <f>VLOOKUP(A42,'سود سپرده بانکی'!$A$17:$N$127,14,0)</f>
        <v>144218219</v>
      </c>
      <c r="J42" s="7"/>
      <c r="K42" s="104">
        <f t="shared" si="1"/>
        <v>5.470618485863474E-4</v>
      </c>
      <c r="L42" s="135"/>
    </row>
    <row r="43" spans="1:12">
      <c r="A43" s="176" t="s">
        <v>196</v>
      </c>
      <c r="B43" s="7"/>
      <c r="C43" s="181">
        <v>7001003694393</v>
      </c>
      <c r="D43" s="7"/>
      <c r="E43" s="66">
        <f>VLOOKUP(A43,'سود سپرده بانکی'!$A$7:$N$127,8,0)</f>
        <v>0</v>
      </c>
      <c r="F43" s="7"/>
      <c r="G43" s="104">
        <f t="shared" si="0"/>
        <v>0</v>
      </c>
      <c r="H43" s="7"/>
      <c r="I43" s="66">
        <f>VLOOKUP(A43,'سود سپرده بانکی'!$A$17:$N$127,14,0)</f>
        <v>118442467</v>
      </c>
      <c r="J43" s="7"/>
      <c r="K43" s="104">
        <f t="shared" si="1"/>
        <v>4.4928688897584744E-4</v>
      </c>
      <c r="L43" s="135"/>
    </row>
    <row r="44" spans="1:12">
      <c r="A44" s="176" t="s">
        <v>197</v>
      </c>
      <c r="B44" s="7"/>
      <c r="C44" s="181">
        <v>7001003694376</v>
      </c>
      <c r="D44" s="7"/>
      <c r="E44" s="66">
        <f>VLOOKUP(A44,'سود سپرده بانکی'!$A$7:$N$127,8,0)</f>
        <v>0</v>
      </c>
      <c r="F44" s="7"/>
      <c r="G44" s="104">
        <f t="shared" si="0"/>
        <v>0</v>
      </c>
      <c r="H44" s="7"/>
      <c r="I44" s="66">
        <f>VLOOKUP(A44,'سود سپرده بانکی'!$A$17:$N$127,14,0)</f>
        <v>546622397</v>
      </c>
      <c r="J44" s="7"/>
      <c r="K44" s="104">
        <f t="shared" si="1"/>
        <v>2.0734984876045397E-3</v>
      </c>
      <c r="L44" s="135"/>
    </row>
    <row r="45" spans="1:12">
      <c r="A45" s="176" t="s">
        <v>198</v>
      </c>
      <c r="B45" s="7"/>
      <c r="C45" s="181">
        <v>7001003694372</v>
      </c>
      <c r="D45" s="7"/>
      <c r="E45" s="66">
        <f>VLOOKUP(A45,'سود سپرده بانکی'!$A$7:$N$127,8,0)</f>
        <v>0</v>
      </c>
      <c r="F45" s="7"/>
      <c r="G45" s="104">
        <f t="shared" si="0"/>
        <v>0</v>
      </c>
      <c r="H45" s="7"/>
      <c r="I45" s="66">
        <f>VLOOKUP(A45,'سود سپرده بانکی'!$A$17:$N$127,14,0)</f>
        <v>307566986.00000006</v>
      </c>
      <c r="J45" s="7"/>
      <c r="K45" s="104">
        <f t="shared" si="1"/>
        <v>1.1666914561279617E-3</v>
      </c>
      <c r="L45" s="135"/>
    </row>
    <row r="46" spans="1:12">
      <c r="A46" s="176" t="s">
        <v>199</v>
      </c>
      <c r="B46" s="7"/>
      <c r="C46" s="181">
        <v>7001003694364</v>
      </c>
      <c r="D46" s="7"/>
      <c r="E46" s="66">
        <f>VLOOKUP(A46,'سود سپرده بانکی'!$A$7:$N$127,8,0)</f>
        <v>14581849</v>
      </c>
      <c r="F46" s="7"/>
      <c r="G46" s="104">
        <f t="shared" si="0"/>
        <v>1.0345106679074661E-3</v>
      </c>
      <c r="H46" s="7"/>
      <c r="I46" s="66">
        <f>VLOOKUP(A46,'سود سپرده بانکی'!$A$17:$N$127,14,0)</f>
        <v>138346650</v>
      </c>
      <c r="J46" s="7"/>
      <c r="K46" s="104">
        <f t="shared" si="1"/>
        <v>5.2478927156026246E-4</v>
      </c>
      <c r="L46" s="135"/>
    </row>
    <row r="47" spans="1:12">
      <c r="A47" s="176" t="s">
        <v>200</v>
      </c>
      <c r="B47" s="7"/>
      <c r="C47" s="181">
        <v>7001003694358</v>
      </c>
      <c r="D47" s="7"/>
      <c r="E47" s="66">
        <f>VLOOKUP(A47,'سود سپرده بانکی'!$A$7:$N$127,8,0)</f>
        <v>0</v>
      </c>
      <c r="F47" s="7"/>
      <c r="G47" s="104">
        <f t="shared" si="0"/>
        <v>0</v>
      </c>
      <c r="H47" s="7"/>
      <c r="I47" s="66">
        <f>VLOOKUP(A47,'سود سپرده بانکی'!$A$17:$N$127,14,0)</f>
        <v>1386398219.0000002</v>
      </c>
      <c r="J47" s="7"/>
      <c r="K47" s="104">
        <f t="shared" si="1"/>
        <v>5.2590135824861339E-3</v>
      </c>
      <c r="L47" s="135"/>
    </row>
    <row r="48" spans="1:12">
      <c r="A48" s="176" t="s">
        <v>201</v>
      </c>
      <c r="B48" s="7"/>
      <c r="C48" s="181">
        <v>7001003694342</v>
      </c>
      <c r="D48" s="7"/>
      <c r="E48" s="66">
        <f>VLOOKUP(A48,'سود سپرده بانکی'!$A$7:$N$127,8,0)</f>
        <v>0</v>
      </c>
      <c r="F48" s="7"/>
      <c r="G48" s="104">
        <f t="shared" si="0"/>
        <v>0</v>
      </c>
      <c r="H48" s="7"/>
      <c r="I48" s="66">
        <f>VLOOKUP(A48,'سود سپرده بانکی'!$A$17:$N$127,14,0)</f>
        <v>356377808</v>
      </c>
      <c r="J48" s="7"/>
      <c r="K48" s="104">
        <f t="shared" si="1"/>
        <v>1.3518451676319092E-3</v>
      </c>
      <c r="L48" s="135"/>
    </row>
    <row r="49" spans="1:12">
      <c r="A49" s="176" t="s">
        <v>202</v>
      </c>
      <c r="B49" s="7"/>
      <c r="C49" s="181">
        <v>7001003694335</v>
      </c>
      <c r="D49" s="7"/>
      <c r="E49" s="66">
        <f>VLOOKUP(A49,'سود سپرده بانکی'!$A$7:$N$127,8,0)</f>
        <v>0</v>
      </c>
      <c r="F49" s="7"/>
      <c r="G49" s="104">
        <f t="shared" si="0"/>
        <v>0</v>
      </c>
      <c r="H49" s="7"/>
      <c r="I49" s="66">
        <f>VLOOKUP(A49,'سود سپرده بانکی'!$A$17:$N$127,14,0)</f>
        <v>205648459</v>
      </c>
      <c r="J49" s="7"/>
      <c r="K49" s="104">
        <f t="shared" si="1"/>
        <v>7.8008470025187093E-4</v>
      </c>
      <c r="L49" s="135"/>
    </row>
    <row r="50" spans="1:12">
      <c r="A50" s="176" t="s">
        <v>203</v>
      </c>
      <c r="B50" s="7"/>
      <c r="C50" s="181">
        <v>7001003677276</v>
      </c>
      <c r="D50" s="7"/>
      <c r="E50" s="66">
        <f>VLOOKUP(A50,'سود سپرده بانکی'!$A$7:$N$127,8,0)</f>
        <v>0</v>
      </c>
      <c r="F50" s="7"/>
      <c r="G50" s="104">
        <f t="shared" si="0"/>
        <v>0</v>
      </c>
      <c r="H50" s="7"/>
      <c r="I50" s="66">
        <f>VLOOKUP(A50,'سود سپرده بانکی'!$A$17:$N$127,14,0)</f>
        <v>4068493151</v>
      </c>
      <c r="J50" s="7"/>
      <c r="K50" s="104">
        <f t="shared" si="1"/>
        <v>1.543298343010985E-2</v>
      </c>
      <c r="L50" s="135"/>
    </row>
    <row r="51" spans="1:12">
      <c r="A51" s="176" t="s">
        <v>204</v>
      </c>
      <c r="B51" s="7"/>
      <c r="C51" s="181">
        <v>7001003667789</v>
      </c>
      <c r="D51" s="7"/>
      <c r="E51" s="66">
        <f>VLOOKUP(A51,'سود سپرده بانکی'!$A$7:$N$127,8,0)</f>
        <v>0</v>
      </c>
      <c r="F51" s="7"/>
      <c r="G51" s="104">
        <f t="shared" si="0"/>
        <v>0</v>
      </c>
      <c r="H51" s="7"/>
      <c r="I51" s="66">
        <f>VLOOKUP(A51,'سود سپرده بانکی'!$A$17:$N$127,14,0)</f>
        <v>402041096.00000006</v>
      </c>
      <c r="J51" s="7"/>
      <c r="K51" s="104">
        <f t="shared" si="1"/>
        <v>1.5250593628911837E-3</v>
      </c>
      <c r="L51" s="135"/>
    </row>
    <row r="52" spans="1:12">
      <c r="A52" s="176" t="s">
        <v>205</v>
      </c>
      <c r="B52" s="7"/>
      <c r="C52" s="181">
        <v>7001003667501</v>
      </c>
      <c r="D52" s="7"/>
      <c r="E52" s="66">
        <f>VLOOKUP(A52,'سود سپرده بانکی'!$A$7:$N$127,8,0)</f>
        <v>0</v>
      </c>
      <c r="F52" s="7"/>
      <c r="G52" s="104">
        <f t="shared" si="0"/>
        <v>0</v>
      </c>
      <c r="H52" s="7"/>
      <c r="I52" s="66">
        <f>VLOOKUP(A52,'سود سپرده بانکی'!$A$17:$N$127,14,0)</f>
        <v>927431507</v>
      </c>
      <c r="J52" s="7"/>
      <c r="K52" s="104">
        <f t="shared" si="1"/>
        <v>3.5180187231173754E-3</v>
      </c>
      <c r="L52" s="135"/>
    </row>
    <row r="53" spans="1:12">
      <c r="A53" s="176" t="s">
        <v>206</v>
      </c>
      <c r="B53" s="7"/>
      <c r="C53" s="181">
        <v>7001003667498</v>
      </c>
      <c r="D53" s="7"/>
      <c r="E53" s="66">
        <f>VLOOKUP(A53,'سود سپرده بانکی'!$A$7:$N$127,8,0)</f>
        <v>0</v>
      </c>
      <c r="F53" s="7"/>
      <c r="G53" s="104">
        <f t="shared" si="0"/>
        <v>0</v>
      </c>
      <c r="H53" s="7"/>
      <c r="I53" s="66">
        <f>VLOOKUP(A53,'سود سپرده بانکی'!$A$17:$N$127,14,0)</f>
        <v>2331647261</v>
      </c>
      <c r="J53" s="7"/>
      <c r="K53" s="104">
        <f t="shared" si="1"/>
        <v>8.8446194225568243E-3</v>
      </c>
      <c r="L53" s="135"/>
    </row>
    <row r="54" spans="1:12">
      <c r="A54" s="176" t="s">
        <v>185</v>
      </c>
      <c r="B54" s="7"/>
      <c r="C54" s="181">
        <v>7001003631847</v>
      </c>
      <c r="D54" s="7"/>
      <c r="E54" s="66">
        <f>VLOOKUP(A54,'سود سپرده بانکی'!$A$7:$N$127,8,0)</f>
        <v>0</v>
      </c>
      <c r="F54" s="7"/>
      <c r="G54" s="104">
        <f t="shared" si="0"/>
        <v>0</v>
      </c>
      <c r="H54" s="7"/>
      <c r="I54" s="66">
        <f>VLOOKUP(A54,'سود سپرده بانکی'!$A$17:$N$127,14,0)</f>
        <v>1809329793</v>
      </c>
      <c r="J54" s="7"/>
      <c r="K54" s="104">
        <f t="shared" si="1"/>
        <v>6.8633166331150807E-3</v>
      </c>
      <c r="L54" s="135"/>
    </row>
    <row r="55" spans="1:12">
      <c r="A55" s="176" t="s">
        <v>179</v>
      </c>
      <c r="B55" s="7"/>
      <c r="C55" s="181">
        <v>7001003572558</v>
      </c>
      <c r="D55" s="7"/>
      <c r="E55" s="66">
        <f>VLOOKUP(A55,'سود سپرده بانکی'!$A$7:$N$127,8,0)</f>
        <v>0</v>
      </c>
      <c r="F55" s="7"/>
      <c r="G55" s="104">
        <f t="shared" si="0"/>
        <v>0</v>
      </c>
      <c r="H55" s="7"/>
      <c r="I55" s="66">
        <f>VLOOKUP(A55,'سود سپرده بانکی'!$A$17:$N$127,14,0)</f>
        <v>2831461643.0000005</v>
      </c>
      <c r="J55" s="7"/>
      <c r="K55" s="104">
        <f t="shared" si="1"/>
        <v>1.0740561430875227E-2</v>
      </c>
      <c r="L55" s="135"/>
    </row>
    <row r="56" spans="1:12">
      <c r="A56" s="176" t="s">
        <v>178</v>
      </c>
      <c r="B56" s="7"/>
      <c r="C56" s="181">
        <v>7001003556987</v>
      </c>
      <c r="D56" s="7"/>
      <c r="E56" s="66">
        <f>VLOOKUP(A56,'سود سپرده بانکی'!$A$7:$N$127,8,0)</f>
        <v>1276628426</v>
      </c>
      <c r="F56" s="7"/>
      <c r="G56" s="104">
        <f t="shared" si="0"/>
        <v>9.0570525428628229E-2</v>
      </c>
      <c r="H56" s="7"/>
      <c r="I56" s="66">
        <f>VLOOKUP(A56,'سود سپرده بانکی'!$A$17:$N$127,14,0)</f>
        <v>14694537642</v>
      </c>
      <c r="J56" s="7"/>
      <c r="K56" s="104">
        <f t="shared" si="1"/>
        <v>5.574067536192627E-2</v>
      </c>
      <c r="L56" s="135"/>
    </row>
    <row r="57" spans="1:12">
      <c r="A57" s="176" t="s">
        <v>177</v>
      </c>
      <c r="B57" s="7"/>
      <c r="C57" s="181">
        <v>7001003527830</v>
      </c>
      <c r="D57" s="7"/>
      <c r="E57" s="66">
        <f>VLOOKUP(A57,'سود سپرده بانکی'!$A$7:$N$127,8,0)</f>
        <v>73020205</v>
      </c>
      <c r="F57" s="7"/>
      <c r="G57" s="104">
        <f t="shared" si="0"/>
        <v>5.1804254073190645E-3</v>
      </c>
      <c r="H57" s="7"/>
      <c r="I57" s="66">
        <f>VLOOKUP(A57,'سود سپرده بانکی'!$A$17:$N$127,14,0)</f>
        <v>1837483769</v>
      </c>
      <c r="J57" s="7"/>
      <c r="K57" s="104">
        <f t="shared" si="1"/>
        <v>6.9701128913299713E-3</v>
      </c>
      <c r="L57" s="135"/>
    </row>
    <row r="58" spans="1:12">
      <c r="A58" s="176" t="s">
        <v>166</v>
      </c>
      <c r="B58" s="7"/>
      <c r="C58" s="181">
        <v>7001003401283</v>
      </c>
      <c r="D58" s="7"/>
      <c r="E58" s="66">
        <f>VLOOKUP(A58,'سود سپرده بانکی'!$A$7:$N$127,8,0)</f>
        <v>0</v>
      </c>
      <c r="F58" s="7"/>
      <c r="G58" s="104">
        <f t="shared" si="0"/>
        <v>0</v>
      </c>
      <c r="H58" s="7"/>
      <c r="I58" s="66">
        <f>VLOOKUP(A58,'سود سپرده بانکی'!$A$17:$N$127,14,0)</f>
        <v>530988904</v>
      </c>
      <c r="J58" s="7"/>
      <c r="K58" s="104">
        <f t="shared" si="1"/>
        <v>2.0141960801851157E-3</v>
      </c>
      <c r="L58" s="135"/>
    </row>
    <row r="59" spans="1:12">
      <c r="A59" s="176" t="s">
        <v>170</v>
      </c>
      <c r="B59" s="7"/>
      <c r="C59" s="181">
        <v>7001003400925</v>
      </c>
      <c r="D59" s="7"/>
      <c r="E59" s="66">
        <f>VLOOKUP(A59,'سود سپرده بانکی'!$A$7:$N$127,8,0)</f>
        <v>38373288</v>
      </c>
      <c r="F59" s="7"/>
      <c r="G59" s="104">
        <f t="shared" si="0"/>
        <v>2.7223965766402843E-3</v>
      </c>
      <c r="H59" s="7"/>
      <c r="I59" s="66">
        <f>VLOOKUP(A59,'سود سپرده بانکی'!$A$17:$N$127,14,0)</f>
        <v>415710628</v>
      </c>
      <c r="J59" s="7"/>
      <c r="K59" s="104">
        <f t="shared" si="1"/>
        <v>1.5769118923225048E-3</v>
      </c>
      <c r="L59" s="135"/>
    </row>
    <row r="60" spans="1:12">
      <c r="A60" s="176" t="s">
        <v>174</v>
      </c>
      <c r="B60" s="7"/>
      <c r="C60" s="181">
        <v>7001003400910</v>
      </c>
      <c r="D60" s="7"/>
      <c r="E60" s="66">
        <f>VLOOKUP(A60,'سود سپرده بانکی'!$A$7:$N$127,8,0)</f>
        <v>0</v>
      </c>
      <c r="F60" s="7"/>
      <c r="G60" s="104">
        <f t="shared" si="0"/>
        <v>0</v>
      </c>
      <c r="H60" s="7"/>
      <c r="I60" s="66">
        <f>VLOOKUP(A60,'سود سپرده بانکی'!$A$17:$N$127,14,0)</f>
        <v>292561643</v>
      </c>
      <c r="J60" s="7"/>
      <c r="K60" s="104">
        <f t="shared" si="1"/>
        <v>1.1097718052185835E-3</v>
      </c>
      <c r="L60" s="135"/>
    </row>
    <row r="61" spans="1:12">
      <c r="A61" s="176" t="s">
        <v>159</v>
      </c>
      <c r="B61" s="7"/>
      <c r="C61" s="181">
        <v>7001003400845</v>
      </c>
      <c r="D61" s="7"/>
      <c r="E61" s="66">
        <f>VLOOKUP(A61,'سود سپرده بانکی'!$A$7:$N$127,8,0)</f>
        <v>0</v>
      </c>
      <c r="F61" s="7"/>
      <c r="G61" s="104">
        <f t="shared" si="0"/>
        <v>0</v>
      </c>
      <c r="H61" s="7"/>
      <c r="I61" s="66">
        <f>VLOOKUP(A61,'سود سپرده بانکی'!$A$17:$N$127,14,0)</f>
        <v>12011301370</v>
      </c>
      <c r="J61" s="7"/>
      <c r="K61" s="104">
        <f t="shared" si="1"/>
        <v>4.5562376078156448E-2</v>
      </c>
      <c r="L61" s="135"/>
    </row>
    <row r="62" spans="1:12">
      <c r="A62" s="176" t="s">
        <v>168</v>
      </c>
      <c r="B62" s="7"/>
      <c r="C62" s="181">
        <v>7001003375223</v>
      </c>
      <c r="D62" s="7"/>
      <c r="E62" s="66">
        <f>VLOOKUP(A62,'سود سپرده بانکی'!$A$7:$N$127,8,0)</f>
        <v>0</v>
      </c>
      <c r="F62" s="7"/>
      <c r="G62" s="104">
        <f t="shared" si="0"/>
        <v>0</v>
      </c>
      <c r="H62" s="7"/>
      <c r="I62" s="66">
        <f>VLOOKUP(A62,'سود سپرده بانکی'!$A$17:$N$127,14,0)</f>
        <v>33232806</v>
      </c>
      <c r="J62" s="7"/>
      <c r="K62" s="104">
        <f t="shared" si="1"/>
        <v>1.2606174455719396E-4</v>
      </c>
      <c r="L62" s="135"/>
    </row>
    <row r="63" spans="1:12">
      <c r="A63" s="176" t="s">
        <v>173</v>
      </c>
      <c r="B63" s="7"/>
      <c r="C63" s="181">
        <v>7001003374935</v>
      </c>
      <c r="D63" s="7"/>
      <c r="E63" s="66">
        <f>VLOOKUP(A63,'سود سپرده بانکی'!$A$7:$N$127,8,0)</f>
        <v>8146231</v>
      </c>
      <c r="F63" s="7"/>
      <c r="G63" s="104">
        <f t="shared" si="0"/>
        <v>5.7793513516279764E-4</v>
      </c>
      <c r="H63" s="7"/>
      <c r="I63" s="66">
        <f>VLOOKUP(A63,'سود سپرده بانکی'!$A$17:$N$127,14,0)</f>
        <v>399669346.00000006</v>
      </c>
      <c r="J63" s="7"/>
      <c r="K63" s="104">
        <f t="shared" si="1"/>
        <v>1.5160626220606464E-3</v>
      </c>
      <c r="L63" s="135"/>
    </row>
    <row r="64" spans="1:12">
      <c r="A64" s="176" t="s">
        <v>160</v>
      </c>
      <c r="B64" s="7"/>
      <c r="C64" s="181">
        <v>7001003374932</v>
      </c>
      <c r="D64" s="7"/>
      <c r="E64" s="66">
        <f>VLOOKUP(A64,'سود سپرده بانکی'!$A$7:$N$127,8,0)</f>
        <v>0</v>
      </c>
      <c r="F64" s="7"/>
      <c r="G64" s="104">
        <f t="shared" si="0"/>
        <v>0</v>
      </c>
      <c r="H64" s="7"/>
      <c r="I64" s="66">
        <f>VLOOKUP(A64,'سود سپرده بانکی'!$A$17:$N$127,14,0)</f>
        <v>696729452.00000012</v>
      </c>
      <c r="J64" s="7"/>
      <c r="K64" s="104">
        <f t="shared" si="1"/>
        <v>2.6428984119937918E-3</v>
      </c>
      <c r="L64" s="135"/>
    </row>
    <row r="65" spans="1:12">
      <c r="A65" s="176" t="s">
        <v>161</v>
      </c>
      <c r="B65" s="7"/>
      <c r="C65" s="181">
        <v>7001003374469</v>
      </c>
      <c r="D65" s="7"/>
      <c r="E65" s="66">
        <f>VLOOKUP(A65,'سود سپرده بانکی'!$A$7:$N$127,8,0)</f>
        <v>0</v>
      </c>
      <c r="F65" s="7"/>
      <c r="G65" s="104">
        <f t="shared" si="0"/>
        <v>0</v>
      </c>
      <c r="H65" s="7"/>
      <c r="I65" s="66">
        <f>VLOOKUP(A65,'سود سپرده بانکی'!$A$17:$N$127,14,0)</f>
        <v>22654110</v>
      </c>
      <c r="J65" s="7"/>
      <c r="K65" s="104">
        <f t="shared" si="1"/>
        <v>8.5933659288071353E-5</v>
      </c>
      <c r="L65" s="135"/>
    </row>
    <row r="66" spans="1:12">
      <c r="A66" s="176" t="s">
        <v>163</v>
      </c>
      <c r="B66" s="7"/>
      <c r="C66" s="181">
        <v>7001003374403</v>
      </c>
      <c r="D66" s="7"/>
      <c r="E66" s="66">
        <f>VLOOKUP(A66,'سود سپرده بانکی'!$A$7:$N$127,8,0)</f>
        <v>32057880</v>
      </c>
      <c r="F66" s="7"/>
      <c r="G66" s="104">
        <f t="shared" si="0"/>
        <v>2.2743493538094788E-3</v>
      </c>
      <c r="H66" s="7"/>
      <c r="I66" s="66">
        <f>VLOOKUP(A66,'سود سپرده بانکی'!$A$17:$N$127,14,0)</f>
        <v>399666271.00000006</v>
      </c>
      <c r="J66" s="7"/>
      <c r="K66" s="104">
        <f t="shared" si="1"/>
        <v>1.5160509576870598E-3</v>
      </c>
      <c r="L66" s="135"/>
    </row>
    <row r="67" spans="1:12">
      <c r="A67" s="176" t="s">
        <v>164</v>
      </c>
      <c r="B67" s="7"/>
      <c r="C67" s="181">
        <v>7001003374230</v>
      </c>
      <c r="D67" s="7"/>
      <c r="E67" s="66">
        <f>VLOOKUP(A67,'سود سپرده بانکی'!$A$7:$N$127,8,0)</f>
        <v>0</v>
      </c>
      <c r="F67" s="7"/>
      <c r="G67" s="104">
        <f t="shared" si="0"/>
        <v>0</v>
      </c>
      <c r="H67" s="7"/>
      <c r="I67" s="66">
        <f>VLOOKUP(A67,'سود سپرده بانکی'!$A$17:$N$127,14,0)</f>
        <v>308958904</v>
      </c>
      <c r="J67" s="7"/>
      <c r="K67" s="104">
        <f t="shared" si="1"/>
        <v>1.171971407852789E-3</v>
      </c>
      <c r="L67" s="135"/>
    </row>
    <row r="68" spans="1:12">
      <c r="A68" s="176" t="s">
        <v>165</v>
      </c>
      <c r="B68" s="7"/>
      <c r="C68" s="181">
        <v>7001003374148</v>
      </c>
      <c r="D68" s="7"/>
      <c r="E68" s="66">
        <f>VLOOKUP(A68,'سود سپرده بانکی'!$A$7:$N$127,8,0)</f>
        <v>0</v>
      </c>
      <c r="F68" s="7"/>
      <c r="G68" s="104">
        <f t="shared" si="0"/>
        <v>0</v>
      </c>
      <c r="H68" s="7"/>
      <c r="I68" s="66">
        <f>VLOOKUP(A68,'سود سپرده بانکی'!$A$17:$N$127,14,0)</f>
        <v>2221234517</v>
      </c>
      <c r="J68" s="7"/>
      <c r="K68" s="104">
        <f t="shared" si="1"/>
        <v>8.4257916193918782E-3</v>
      </c>
      <c r="L68" s="135"/>
    </row>
    <row r="69" spans="1:12">
      <c r="A69" s="176" t="s">
        <v>167</v>
      </c>
      <c r="B69" s="7"/>
      <c r="C69" s="181">
        <v>7001003373974</v>
      </c>
      <c r="D69" s="7"/>
      <c r="E69" s="66">
        <f>VLOOKUP(A69,'سود سپرده بانکی'!$A$7:$N$127,8,0)</f>
        <v>0</v>
      </c>
      <c r="F69" s="7"/>
      <c r="G69" s="104">
        <f t="shared" si="0"/>
        <v>0</v>
      </c>
      <c r="H69" s="7"/>
      <c r="I69" s="66">
        <f>VLOOKUP(A69,'سود سپرده بانکی'!$A$17:$N$127,14,0)</f>
        <v>1144599041</v>
      </c>
      <c r="J69" s="7"/>
      <c r="K69" s="104">
        <f t="shared" si="1"/>
        <v>4.3417986409859943E-3</v>
      </c>
      <c r="L69" s="135"/>
    </row>
    <row r="70" spans="1:12">
      <c r="A70" s="176" t="s">
        <v>172</v>
      </c>
      <c r="B70" s="7"/>
      <c r="C70" s="181">
        <v>7001003373626</v>
      </c>
      <c r="D70" s="7"/>
      <c r="E70" s="66">
        <f>VLOOKUP(A70,'سود سپرده بانکی'!$A$7:$N$127,8,0)</f>
        <v>0</v>
      </c>
      <c r="F70" s="7"/>
      <c r="G70" s="104">
        <f t="shared" si="0"/>
        <v>0</v>
      </c>
      <c r="H70" s="7"/>
      <c r="I70" s="66">
        <f>VLOOKUP(A70,'سود سپرده بانکی'!$A$17:$N$127,14,0)</f>
        <v>51047260</v>
      </c>
      <c r="J70" s="7"/>
      <c r="K70" s="104">
        <f t="shared" si="1"/>
        <v>1.9363717437717012E-4</v>
      </c>
      <c r="L70" s="135"/>
    </row>
    <row r="71" spans="1:12">
      <c r="A71" s="176" t="s">
        <v>171</v>
      </c>
      <c r="B71" s="7"/>
      <c r="C71" s="181">
        <v>7001003359645</v>
      </c>
      <c r="D71" s="7"/>
      <c r="E71" s="66">
        <f>VLOOKUP(A71,'سود سپرده بانکی'!$A$7:$N$127,8,0)</f>
        <v>0</v>
      </c>
      <c r="F71" s="7"/>
      <c r="G71" s="104">
        <f t="shared" si="0"/>
        <v>0</v>
      </c>
      <c r="H71" s="7"/>
      <c r="I71" s="66">
        <f>VLOOKUP(A71,'سود سپرده بانکی'!$A$17:$N$127,14,0)</f>
        <v>1980376028</v>
      </c>
      <c r="J71" s="7"/>
      <c r="K71" s="104">
        <f t="shared" si="1"/>
        <v>7.5121449861599533E-3</v>
      </c>
      <c r="L71" s="135"/>
    </row>
    <row r="72" spans="1:12">
      <c r="A72" s="176" t="s">
        <v>144</v>
      </c>
      <c r="B72" s="7"/>
      <c r="C72" s="181">
        <v>7001003356893</v>
      </c>
      <c r="D72" s="7"/>
      <c r="E72" s="66">
        <f>VLOOKUP(A72,'سود سپرده بانکی'!$A$7:$N$127,8,0)</f>
        <v>0</v>
      </c>
      <c r="F72" s="7"/>
      <c r="G72" s="104">
        <f t="shared" si="0"/>
        <v>0</v>
      </c>
      <c r="H72" s="7"/>
      <c r="I72" s="66">
        <f>VLOOKUP(A72,'سود سپرده بانکی'!$A$17:$N$127,14,0)</f>
        <v>520890410</v>
      </c>
      <c r="J72" s="7"/>
      <c r="K72" s="104">
        <f t="shared" si="1"/>
        <v>1.9758895414281911E-3</v>
      </c>
      <c r="L72" s="135"/>
    </row>
    <row r="73" spans="1:12">
      <c r="A73" s="176" t="s">
        <v>141</v>
      </c>
      <c r="B73" s="7"/>
      <c r="C73" s="181">
        <v>7001003356883</v>
      </c>
      <c r="D73" s="7"/>
      <c r="E73" s="66">
        <f>VLOOKUP(A73,'سود سپرده بانکی'!$A$7:$N$127,8,0)</f>
        <v>0</v>
      </c>
      <c r="F73" s="7"/>
      <c r="G73" s="104">
        <f t="shared" ref="G73:G128" si="2">E73/$E$129</f>
        <v>0</v>
      </c>
      <c r="H73" s="7"/>
      <c r="I73" s="66">
        <f>VLOOKUP(A73,'سود سپرده بانکی'!$A$17:$N$127,14,0)</f>
        <v>241742466</v>
      </c>
      <c r="J73" s="7"/>
      <c r="K73" s="104">
        <f t="shared" ref="K73:K128" si="3">I73/$I$129</f>
        <v>9.1699981631157329E-4</v>
      </c>
      <c r="L73" s="135"/>
    </row>
    <row r="74" spans="1:12">
      <c r="A74" s="176" t="s">
        <v>156</v>
      </c>
      <c r="B74" s="7"/>
      <c r="C74" s="181">
        <v>7001003345278</v>
      </c>
      <c r="D74" s="7"/>
      <c r="E74" s="66">
        <f>VLOOKUP(A74,'سود سپرده بانکی'!$A$7:$N$127,8,0)</f>
        <v>0</v>
      </c>
      <c r="F74" s="7"/>
      <c r="G74" s="104">
        <f t="shared" si="2"/>
        <v>0</v>
      </c>
      <c r="H74" s="7"/>
      <c r="I74" s="66">
        <f>VLOOKUP(A74,'سود سپرده بانکی'!$A$17:$N$127,14,0)</f>
        <v>687476712.00000012</v>
      </c>
      <c r="J74" s="7"/>
      <c r="K74" s="104">
        <f t="shared" si="3"/>
        <v>2.6078000653078654E-3</v>
      </c>
      <c r="L74" s="135"/>
    </row>
    <row r="75" spans="1:12">
      <c r="A75" s="176" t="s">
        <v>152</v>
      </c>
      <c r="B75" s="7"/>
      <c r="C75" s="181">
        <v>7001003317861</v>
      </c>
      <c r="D75" s="7"/>
      <c r="E75" s="66">
        <f>VLOOKUP(A75,'سود سپرده بانکی'!$A$7:$N$127,8,0)</f>
        <v>0</v>
      </c>
      <c r="F75" s="7"/>
      <c r="G75" s="104">
        <f t="shared" si="2"/>
        <v>0</v>
      </c>
      <c r="H75" s="7"/>
      <c r="I75" s="66">
        <f>VLOOKUP(A75,'سود سپرده بانکی'!$A$17:$N$127,14,0)</f>
        <v>50312468</v>
      </c>
      <c r="J75" s="7"/>
      <c r="K75" s="104">
        <f t="shared" si="3"/>
        <v>1.9084989359785014E-4</v>
      </c>
      <c r="L75" s="135"/>
    </row>
    <row r="76" spans="1:12">
      <c r="A76" s="176" t="s">
        <v>155</v>
      </c>
      <c r="B76" s="7"/>
      <c r="C76" s="181">
        <v>7001003316468</v>
      </c>
      <c r="D76" s="7"/>
      <c r="E76" s="66">
        <f>VLOOKUP(A76,'سود سپرده بانکی'!$A$7:$N$127,8,0)</f>
        <v>0</v>
      </c>
      <c r="F76" s="7"/>
      <c r="G76" s="104">
        <f t="shared" si="2"/>
        <v>0</v>
      </c>
      <c r="H76" s="7"/>
      <c r="I76" s="66">
        <f>VLOOKUP(A76,'سود سپرده بانکی'!$A$17:$N$127,14,0)</f>
        <v>257307534</v>
      </c>
      <c r="J76" s="7"/>
      <c r="K76" s="104">
        <f t="shared" si="3"/>
        <v>9.7604266771062018E-4</v>
      </c>
      <c r="L76" s="135"/>
    </row>
    <row r="77" spans="1:12">
      <c r="A77" s="176" t="s">
        <v>146</v>
      </c>
      <c r="B77" s="7"/>
      <c r="C77" s="181">
        <v>7001003316357</v>
      </c>
      <c r="D77" s="7"/>
      <c r="E77" s="66">
        <f>VLOOKUP(A77,'سود سپرده بانکی'!$A$7:$N$127,8,0)</f>
        <v>0</v>
      </c>
      <c r="F77" s="7"/>
      <c r="G77" s="104">
        <f t="shared" si="2"/>
        <v>0</v>
      </c>
      <c r="H77" s="7"/>
      <c r="I77" s="66">
        <f>VLOOKUP(A77,'سود سپرده بانکی'!$A$17:$N$127,14,0)</f>
        <v>440228528</v>
      </c>
      <c r="J77" s="7"/>
      <c r="K77" s="104">
        <f t="shared" si="3"/>
        <v>1.6699154517233819E-3</v>
      </c>
      <c r="L77" s="135"/>
    </row>
    <row r="78" spans="1:12">
      <c r="A78" s="176" t="s">
        <v>148</v>
      </c>
      <c r="B78" s="7"/>
      <c r="C78" s="181">
        <v>7001003316350</v>
      </c>
      <c r="D78" s="7"/>
      <c r="E78" s="66">
        <f>VLOOKUP(A78,'سود سپرده بانکی'!$A$7:$N$127,8,0)</f>
        <v>0</v>
      </c>
      <c r="F78" s="7"/>
      <c r="G78" s="104">
        <f t="shared" si="2"/>
        <v>0</v>
      </c>
      <c r="H78" s="7"/>
      <c r="I78" s="66">
        <f>VLOOKUP(A78,'سود سپرده بانکی'!$A$17:$N$127,14,0)</f>
        <v>102914383</v>
      </c>
      <c r="J78" s="7"/>
      <c r="K78" s="104">
        <f t="shared" si="3"/>
        <v>3.9038432869638589E-4</v>
      </c>
      <c r="L78" s="135"/>
    </row>
    <row r="79" spans="1:12">
      <c r="A79" s="176" t="s">
        <v>140</v>
      </c>
      <c r="B79" s="7"/>
      <c r="C79" s="181">
        <v>7001003316349</v>
      </c>
      <c r="D79" s="7"/>
      <c r="E79" s="66">
        <f>VLOOKUP(A79,'سود سپرده بانکی'!$A$7:$N$127,8,0)</f>
        <v>0</v>
      </c>
      <c r="F79" s="7"/>
      <c r="G79" s="104">
        <f t="shared" si="2"/>
        <v>0</v>
      </c>
      <c r="H79" s="7"/>
      <c r="I79" s="66">
        <f>VLOOKUP(A79,'سود سپرده بانکی'!$A$17:$N$127,14,0)</f>
        <v>1510273972</v>
      </c>
      <c r="J79" s="7"/>
      <c r="K79" s="104">
        <f t="shared" si="3"/>
        <v>5.7289105129925749E-3</v>
      </c>
      <c r="L79" s="135"/>
    </row>
    <row r="80" spans="1:12">
      <c r="A80" s="176" t="s">
        <v>154</v>
      </c>
      <c r="B80" s="7"/>
      <c r="C80" s="181">
        <v>7001003260934</v>
      </c>
      <c r="D80" s="7"/>
      <c r="E80" s="66">
        <f>VLOOKUP(A80,'سود سپرده بانکی'!$A$7:$N$127,8,0)</f>
        <v>0</v>
      </c>
      <c r="F80" s="7"/>
      <c r="G80" s="104">
        <f t="shared" si="2"/>
        <v>0</v>
      </c>
      <c r="H80" s="7"/>
      <c r="I80" s="66">
        <f>VLOOKUP(A80,'سود سپرده بانکی'!$A$17:$N$127,14,0)</f>
        <v>1557036986</v>
      </c>
      <c r="J80" s="7"/>
      <c r="K80" s="104">
        <f t="shared" si="3"/>
        <v>5.9062962903353756E-3</v>
      </c>
      <c r="L80" s="135"/>
    </row>
    <row r="81" spans="1:12">
      <c r="A81" s="176" t="s">
        <v>150</v>
      </c>
      <c r="B81" s="7"/>
      <c r="C81" s="181">
        <v>7001003260834</v>
      </c>
      <c r="D81" s="7"/>
      <c r="E81" s="66">
        <f>VLOOKUP(A81,'سود سپرده بانکی'!$A$7:$N$127,8,0)</f>
        <v>0</v>
      </c>
      <c r="F81" s="7"/>
      <c r="G81" s="104">
        <f t="shared" si="2"/>
        <v>0</v>
      </c>
      <c r="H81" s="7"/>
      <c r="I81" s="66">
        <f>VLOOKUP(A81,'سود سپرده بانکی'!$A$17:$N$127,14,0)</f>
        <v>5856165</v>
      </c>
      <c r="J81" s="7"/>
      <c r="K81" s="104">
        <f t="shared" si="3"/>
        <v>2.2214145152677744E-5</v>
      </c>
      <c r="L81" s="135"/>
    </row>
    <row r="82" spans="1:12">
      <c r="A82" s="176" t="s">
        <v>136</v>
      </c>
      <c r="B82" s="7"/>
      <c r="C82" s="181">
        <v>7001003260318</v>
      </c>
      <c r="D82" s="7"/>
      <c r="E82" s="66">
        <f>VLOOKUP(A82,'سود سپرده بانکی'!$A$7:$N$127,8,0)</f>
        <v>0</v>
      </c>
      <c r="F82" s="7"/>
      <c r="G82" s="104">
        <f t="shared" si="2"/>
        <v>0</v>
      </c>
      <c r="H82" s="7"/>
      <c r="I82" s="66">
        <f>VLOOKUP(A82,'سود سپرده بانکی'!$A$17:$N$127,14,0)</f>
        <v>81986301</v>
      </c>
      <c r="J82" s="7"/>
      <c r="K82" s="104">
        <f t="shared" si="3"/>
        <v>3.1099799799785838E-4</v>
      </c>
      <c r="L82" s="135"/>
    </row>
    <row r="83" spans="1:12">
      <c r="A83" s="176" t="s">
        <v>149</v>
      </c>
      <c r="B83" s="7"/>
      <c r="C83" s="181">
        <v>7001003259908</v>
      </c>
      <c r="D83" s="7"/>
      <c r="E83" s="66">
        <f>VLOOKUP(A83,'سود سپرده بانکی'!$A$7:$N$127,8,0)</f>
        <v>0</v>
      </c>
      <c r="F83" s="7"/>
      <c r="G83" s="104">
        <f t="shared" si="2"/>
        <v>0</v>
      </c>
      <c r="H83" s="7"/>
      <c r="I83" s="66">
        <f>VLOOKUP(A83,'سود سپرده بانکی'!$A$17:$N$127,14,0)</f>
        <v>25767124</v>
      </c>
      <c r="J83" s="7"/>
      <c r="K83" s="104">
        <f t="shared" si="3"/>
        <v>9.7742231085197622E-5</v>
      </c>
      <c r="L83" s="135"/>
    </row>
    <row r="84" spans="1:12">
      <c r="A84" s="176" t="s">
        <v>147</v>
      </c>
      <c r="B84" s="7"/>
      <c r="C84" s="181">
        <v>7001003258822</v>
      </c>
      <c r="D84" s="7"/>
      <c r="E84" s="66">
        <f>VLOOKUP(A84,'سود سپرده بانکی'!$A$7:$N$127,8,0)</f>
        <v>0</v>
      </c>
      <c r="F84" s="7"/>
      <c r="G84" s="104">
        <f t="shared" si="2"/>
        <v>0</v>
      </c>
      <c r="H84" s="7"/>
      <c r="I84" s="66">
        <f>VLOOKUP(A84,'سود سپرده بانکی'!$A$17:$N$127,14,0)</f>
        <v>309673973</v>
      </c>
      <c r="J84" s="7"/>
      <c r="K84" s="104">
        <f t="shared" si="3"/>
        <v>1.1746838735295895E-3</v>
      </c>
      <c r="L84" s="135"/>
    </row>
    <row r="85" spans="1:12">
      <c r="A85" s="176" t="s">
        <v>135</v>
      </c>
      <c r="B85" s="7"/>
      <c r="C85" s="181">
        <v>7001003258763</v>
      </c>
      <c r="D85" s="7"/>
      <c r="E85" s="66">
        <f>VLOOKUP(A85,'سود سپرده بانکی'!$A$7:$N$127,8,0)</f>
        <v>0</v>
      </c>
      <c r="F85" s="7"/>
      <c r="G85" s="104">
        <f t="shared" si="2"/>
        <v>0</v>
      </c>
      <c r="H85" s="7"/>
      <c r="I85" s="66">
        <f>VLOOKUP(A85,'سود سپرده بانکی'!$A$17:$N$127,14,0)</f>
        <v>64417808</v>
      </c>
      <c r="J85" s="7"/>
      <c r="K85" s="104">
        <f t="shared" si="3"/>
        <v>2.443555701264096E-4</v>
      </c>
      <c r="L85" s="135"/>
    </row>
    <row r="86" spans="1:12">
      <c r="A86" s="176" t="s">
        <v>153</v>
      </c>
      <c r="B86" s="7"/>
      <c r="C86" s="181">
        <v>7001003258695</v>
      </c>
      <c r="D86" s="7"/>
      <c r="E86" s="66">
        <f>VLOOKUP(A86,'سود سپرده بانکی'!$A$7:$N$127,8,0)</f>
        <v>0</v>
      </c>
      <c r="F86" s="7"/>
      <c r="G86" s="104">
        <f t="shared" si="2"/>
        <v>0</v>
      </c>
      <c r="H86" s="7"/>
      <c r="I86" s="66">
        <f>VLOOKUP(A86,'سود سپرده بانکی'!$A$17:$N$127,14,0)</f>
        <v>10861662328</v>
      </c>
      <c r="J86" s="7"/>
      <c r="K86" s="104">
        <f t="shared" si="3"/>
        <v>4.1201459240571885E-2</v>
      </c>
      <c r="L86" s="135"/>
    </row>
    <row r="87" spans="1:12">
      <c r="A87" s="176" t="s">
        <v>138</v>
      </c>
      <c r="B87" s="7"/>
      <c r="C87" s="181">
        <v>7001003258678</v>
      </c>
      <c r="D87" s="7"/>
      <c r="E87" s="66">
        <f>VLOOKUP(A87,'سود سپرده بانکی'!$A$7:$N$127,8,0)</f>
        <v>0</v>
      </c>
      <c r="F87" s="7"/>
      <c r="G87" s="104">
        <f t="shared" si="2"/>
        <v>0</v>
      </c>
      <c r="H87" s="7"/>
      <c r="I87" s="66">
        <f>VLOOKUP(A87,'سود سپرده بانکی'!$A$17:$N$127,14,0)</f>
        <v>38065069</v>
      </c>
      <c r="J87" s="7"/>
      <c r="K87" s="104">
        <f t="shared" si="3"/>
        <v>1.4439193021588255E-4</v>
      </c>
      <c r="L87" s="135"/>
    </row>
    <row r="88" spans="1:12">
      <c r="A88" s="176" t="s">
        <v>127</v>
      </c>
      <c r="B88" s="7"/>
      <c r="C88" s="181">
        <v>7001003214661</v>
      </c>
      <c r="D88" s="7"/>
      <c r="E88" s="66">
        <f>VLOOKUP(A88,'سود سپرده بانکی'!$A$7:$N$127,8,0)</f>
        <v>0</v>
      </c>
      <c r="F88" s="7"/>
      <c r="G88" s="104">
        <f t="shared" si="2"/>
        <v>0</v>
      </c>
      <c r="H88" s="7"/>
      <c r="I88" s="66">
        <f>VLOOKUP(A88,'سود سپرده بانکی'!$A$17:$N$127,14,0)</f>
        <v>303333906.00000006</v>
      </c>
      <c r="J88" s="7"/>
      <c r="K88" s="104">
        <f t="shared" si="3"/>
        <v>1.1506341466834878E-3</v>
      </c>
      <c r="L88" s="135"/>
    </row>
    <row r="89" spans="1:12">
      <c r="A89" s="176" t="s">
        <v>132</v>
      </c>
      <c r="B89" s="7"/>
      <c r="C89" s="181">
        <v>7001003214649</v>
      </c>
      <c r="D89" s="7"/>
      <c r="E89" s="66">
        <f>VLOOKUP(A89,'سود سپرده بانکی'!$A$7:$N$127,8,0)</f>
        <v>0</v>
      </c>
      <c r="F89" s="7"/>
      <c r="G89" s="104">
        <f t="shared" si="2"/>
        <v>0</v>
      </c>
      <c r="H89" s="7"/>
      <c r="I89" s="66">
        <f>VLOOKUP(A89,'سود سپرده بانکی'!$A$17:$N$127,14,0)</f>
        <v>5942619864</v>
      </c>
      <c r="J89" s="7"/>
      <c r="K89" s="104">
        <f t="shared" si="3"/>
        <v>2.2542093715952689E-2</v>
      </c>
      <c r="L89" s="135"/>
    </row>
    <row r="90" spans="1:12">
      <c r="A90" s="176" t="s">
        <v>176</v>
      </c>
      <c r="B90" s="7"/>
      <c r="C90" s="181">
        <v>7001003572607</v>
      </c>
      <c r="D90" s="7"/>
      <c r="E90" s="66">
        <f>VLOOKUP(A90,'سود سپرده بانکی'!$A$7:$N$127,8,0)</f>
        <v>0</v>
      </c>
      <c r="F90" s="7"/>
      <c r="G90" s="104">
        <f t="shared" si="2"/>
        <v>0</v>
      </c>
      <c r="H90" s="7"/>
      <c r="I90" s="66">
        <f>VLOOKUP(A90,'سود سپرده بانکی'!$A$17:$N$127,14,0)</f>
        <v>364746575</v>
      </c>
      <c r="J90" s="7"/>
      <c r="K90" s="104">
        <f t="shared" si="3"/>
        <v>1.3835903464113561E-3</v>
      </c>
      <c r="L90" s="135"/>
    </row>
    <row r="91" spans="1:12">
      <c r="A91" s="176" t="s">
        <v>207</v>
      </c>
      <c r="B91" s="7"/>
      <c r="C91" s="181">
        <v>83081039984291</v>
      </c>
      <c r="D91" s="7"/>
      <c r="E91" s="66">
        <f>VLOOKUP(A91,'سود سپرده بانکی'!$A$7:$N$127,8,0)</f>
        <v>3833</v>
      </c>
      <c r="F91" s="7"/>
      <c r="G91" s="104">
        <f t="shared" si="2"/>
        <v>2.7193255053521107E-7</v>
      </c>
      <c r="H91" s="7"/>
      <c r="I91" s="66">
        <f>VLOOKUP(A91,'سود سپرده بانکی'!$A$17:$N$127,14,0)</f>
        <v>3980462419</v>
      </c>
      <c r="J91" s="7"/>
      <c r="K91" s="104">
        <f t="shared" si="3"/>
        <v>1.5099057139005608E-2</v>
      </c>
      <c r="L91" s="135"/>
    </row>
    <row r="92" spans="1:12">
      <c r="A92" s="176" t="s">
        <v>184</v>
      </c>
      <c r="B92" s="7"/>
      <c r="C92" s="181">
        <v>8301113984291</v>
      </c>
      <c r="D92" s="7"/>
      <c r="E92" s="66">
        <f>VLOOKUP(A92,'سود سپرده بانکی'!$A$7:$N$127,8,0)</f>
        <v>0</v>
      </c>
      <c r="F92" s="7"/>
      <c r="G92" s="104">
        <f t="shared" si="2"/>
        <v>0</v>
      </c>
      <c r="H92" s="7"/>
      <c r="I92" s="66">
        <f>VLOOKUP(A92,'سود سپرده بانکی'!$A$17:$N$127,14,0)</f>
        <v>13778406369.310345</v>
      </c>
      <c r="J92" s="7"/>
      <c r="K92" s="104">
        <f t="shared" si="3"/>
        <v>5.2265521729739438E-2</v>
      </c>
      <c r="L92" s="135"/>
    </row>
    <row r="93" spans="1:12">
      <c r="A93" s="176" t="s">
        <v>162</v>
      </c>
      <c r="B93" s="7"/>
      <c r="C93" s="181">
        <v>24845478</v>
      </c>
      <c r="D93" s="7"/>
      <c r="E93" s="66">
        <f>VLOOKUP(A93,'سود سپرده بانکی'!$A$7:$N$127,8,0)</f>
        <v>15059</v>
      </c>
      <c r="F93" s="7"/>
      <c r="G93" s="104">
        <f t="shared" si="2"/>
        <v>1.0683621911061163E-6</v>
      </c>
      <c r="H93" s="7"/>
      <c r="I93" s="66">
        <f>VLOOKUP(A93,'سود سپرده بانکی'!$A$17:$N$127,14,0)</f>
        <v>3341113471</v>
      </c>
      <c r="J93" s="7"/>
      <c r="K93" s="104">
        <f t="shared" si="3"/>
        <v>1.267381974660225E-2</v>
      </c>
      <c r="L93" s="135"/>
    </row>
    <row r="94" spans="1:12">
      <c r="A94" s="176" t="s">
        <v>298</v>
      </c>
      <c r="B94" s="7"/>
      <c r="C94" s="181">
        <v>479604349703</v>
      </c>
      <c r="D94" s="7"/>
      <c r="E94" s="66">
        <f>VLOOKUP(A94,'سود سپرده بانکی'!$A$7:$N$127,8,0)</f>
        <v>209900346.32107025</v>
      </c>
      <c r="F94" s="7"/>
      <c r="G94" s="104">
        <f t="shared" si="2"/>
        <v>1.4891400086958712E-2</v>
      </c>
      <c r="H94" s="7"/>
      <c r="I94" s="66">
        <f>VLOOKUP(A94,'سود سپرده بانکی'!$A$17:$N$127,14,0)</f>
        <v>209900346.32107025</v>
      </c>
      <c r="J94" s="7"/>
      <c r="K94" s="104">
        <f t="shared" si="3"/>
        <v>7.9621335136110106E-4</v>
      </c>
      <c r="L94" s="135"/>
    </row>
    <row r="95" spans="1:12">
      <c r="A95" s="176" t="s">
        <v>299</v>
      </c>
      <c r="B95" s="7"/>
      <c r="C95" s="181">
        <v>479604275643</v>
      </c>
      <c r="D95" s="7"/>
      <c r="E95" s="66">
        <f>VLOOKUP(A95,'سود سپرده بانکی'!$A$7:$N$127,8,0)</f>
        <v>14178080.769230772</v>
      </c>
      <c r="F95" s="7"/>
      <c r="G95" s="104">
        <f t="shared" si="2"/>
        <v>1.0058652922700631E-3</v>
      </c>
      <c r="H95" s="7"/>
      <c r="I95" s="66">
        <f>VLOOKUP(A95,'سود سپرده بانکی'!$A$17:$N$127,14,0)</f>
        <v>14178080.769230772</v>
      </c>
      <c r="J95" s="7"/>
      <c r="K95" s="104">
        <f t="shared" si="3"/>
        <v>5.3781603522797133E-5</v>
      </c>
      <c r="L95" s="135"/>
    </row>
    <row r="96" spans="1:12">
      <c r="A96" s="176" t="s">
        <v>300</v>
      </c>
      <c r="B96" s="7"/>
      <c r="C96" s="181">
        <v>479604255640</v>
      </c>
      <c r="D96" s="7"/>
      <c r="E96" s="66">
        <f>VLOOKUP(A96,'سود سپرده بانکی'!$A$7:$N$127,8,0)</f>
        <v>125325689.21070234</v>
      </c>
      <c r="F96" s="7"/>
      <c r="G96" s="104">
        <f t="shared" si="2"/>
        <v>8.8912429727757564E-3</v>
      </c>
      <c r="H96" s="7"/>
      <c r="I96" s="66">
        <f>VLOOKUP(A96,'سود سپرده بانکی'!$A$17:$N$127,14,0)</f>
        <v>125325689.21070234</v>
      </c>
      <c r="J96" s="7"/>
      <c r="K96" s="104">
        <f t="shared" si="3"/>
        <v>4.7539696225873434E-4</v>
      </c>
      <c r="L96" s="135"/>
    </row>
    <row r="97" spans="1:12">
      <c r="A97" s="176" t="s">
        <v>175</v>
      </c>
      <c r="B97" s="7"/>
      <c r="C97" s="181">
        <v>479601842568</v>
      </c>
      <c r="D97" s="7"/>
      <c r="E97" s="66">
        <f>VLOOKUP(A97,'سود سپرده بانکی'!$A$7:$N$127,8,0)</f>
        <v>0</v>
      </c>
      <c r="F97" s="7"/>
      <c r="G97" s="104">
        <f t="shared" si="2"/>
        <v>0</v>
      </c>
      <c r="H97" s="7"/>
      <c r="I97" s="66">
        <f>VLOOKUP(A97,'سود سپرده بانکی'!$A$17:$N$127,14,0)</f>
        <v>6780821916.272727</v>
      </c>
      <c r="J97" s="7"/>
      <c r="K97" s="104">
        <f t="shared" si="3"/>
        <v>2.5721639042366601E-2</v>
      </c>
      <c r="L97" s="135"/>
    </row>
    <row r="98" spans="1:12">
      <c r="A98" s="176" t="s">
        <v>169</v>
      </c>
      <c r="B98" s="7"/>
      <c r="C98" s="181">
        <v>479601842490</v>
      </c>
      <c r="D98" s="7"/>
      <c r="E98" s="66">
        <f>VLOOKUP(A98,'سود سپرده بانکی'!$A$7:$N$127,8,0)</f>
        <v>0</v>
      </c>
      <c r="F98" s="7"/>
      <c r="G98" s="104">
        <f t="shared" si="2"/>
        <v>0</v>
      </c>
      <c r="H98" s="7"/>
      <c r="I98" s="66">
        <f>VLOOKUP(A98,'سود سپرده بانکی'!$A$17:$N$127,14,0)</f>
        <v>5424657534</v>
      </c>
      <c r="J98" s="7"/>
      <c r="K98" s="104">
        <f t="shared" si="3"/>
        <v>2.0577311237617604E-2</v>
      </c>
      <c r="L98" s="135"/>
    </row>
    <row r="99" spans="1:12">
      <c r="A99" s="176" t="s">
        <v>239</v>
      </c>
      <c r="B99" s="7"/>
      <c r="C99" s="181">
        <v>2093071522726810</v>
      </c>
      <c r="D99" s="7"/>
      <c r="E99" s="66">
        <f>VLOOKUP(A99,'سود سپرده بانکی'!$A$7:$N$127,8,0)</f>
        <v>0</v>
      </c>
      <c r="F99" s="7"/>
      <c r="G99" s="104">
        <f t="shared" si="2"/>
        <v>0</v>
      </c>
      <c r="H99" s="7"/>
      <c r="I99" s="66">
        <f>VLOOKUP(A99,'سود سپرده بانکی'!$A$17:$N$127,14,0)</f>
        <v>3694470400.5000005</v>
      </c>
      <c r="J99" s="7"/>
      <c r="K99" s="104">
        <f t="shared" si="3"/>
        <v>1.4014205839312672E-2</v>
      </c>
      <c r="L99" s="135"/>
    </row>
    <row r="100" spans="1:12">
      <c r="A100" s="176" t="s">
        <v>181</v>
      </c>
      <c r="B100" s="7"/>
      <c r="C100" s="181">
        <v>2093071522726810</v>
      </c>
      <c r="D100" s="7"/>
      <c r="E100" s="66">
        <f>VLOOKUP(A100,'سود سپرده بانکی'!$A$7:$N$127,8,0)</f>
        <v>0</v>
      </c>
      <c r="F100" s="7"/>
      <c r="G100" s="104">
        <f t="shared" si="2"/>
        <v>0</v>
      </c>
      <c r="H100" s="7"/>
      <c r="I100" s="66">
        <f>VLOOKUP(A100,'سود سپرده بانکی'!$A$17:$N$127,14,0)</f>
        <v>24265738358.684216</v>
      </c>
      <c r="J100" s="7"/>
      <c r="K100" s="104">
        <f t="shared" si="3"/>
        <v>9.2047036607867325E-2</v>
      </c>
      <c r="L100" s="135"/>
    </row>
    <row r="101" spans="1:12">
      <c r="A101" s="176" t="s">
        <v>183</v>
      </c>
      <c r="B101" s="7"/>
      <c r="C101" s="181">
        <v>124283686748044</v>
      </c>
      <c r="D101" s="7"/>
      <c r="E101" s="66">
        <f>VLOOKUP(A101,'سود سپرده بانکی'!$A$7:$N$127,8,0)</f>
        <v>0</v>
      </c>
      <c r="F101" s="7"/>
      <c r="G101" s="104">
        <f t="shared" si="2"/>
        <v>0</v>
      </c>
      <c r="H101" s="7"/>
      <c r="I101" s="66">
        <f>VLOOKUP(A101,'سود سپرده بانکی'!$A$17:$N$127,14,0)</f>
        <v>13594166506.551725</v>
      </c>
      <c r="J101" s="7"/>
      <c r="K101" s="104">
        <f t="shared" si="3"/>
        <v>5.1566646091121091E-2</v>
      </c>
      <c r="L101" s="135"/>
    </row>
    <row r="102" spans="1:12">
      <c r="A102" s="176" t="s">
        <v>143</v>
      </c>
      <c r="B102" s="7"/>
      <c r="C102" s="181">
        <v>124283686748042</v>
      </c>
      <c r="D102" s="7"/>
      <c r="E102" s="66">
        <f>VLOOKUP(A102,'سود سپرده بانکی'!$A$7:$N$127,8,0)</f>
        <v>0</v>
      </c>
      <c r="F102" s="7"/>
      <c r="G102" s="104">
        <f t="shared" si="2"/>
        <v>0</v>
      </c>
      <c r="H102" s="7"/>
      <c r="I102" s="66">
        <f>VLOOKUP(A102,'سود سپرده بانکی'!$A$17:$N$127,14,0)</f>
        <v>1833890928.3333333</v>
      </c>
      <c r="J102" s="7"/>
      <c r="K102" s="104">
        <f t="shared" si="3"/>
        <v>6.9564841967696611E-3</v>
      </c>
      <c r="L102" s="135"/>
    </row>
    <row r="103" spans="1:12">
      <c r="A103" s="176" t="s">
        <v>115</v>
      </c>
      <c r="B103" s="7"/>
      <c r="C103" s="181">
        <v>124283686748038</v>
      </c>
      <c r="D103" s="7"/>
      <c r="E103" s="66">
        <f>VLOOKUP(A103,'سود سپرده بانکی'!$A$7:$N$127,8,0)</f>
        <v>0</v>
      </c>
      <c r="F103" s="7"/>
      <c r="G103" s="104">
        <f t="shared" si="2"/>
        <v>0</v>
      </c>
      <c r="H103" s="7"/>
      <c r="I103" s="66">
        <f>VLOOKUP(A103,'سود سپرده بانکی'!$A$17:$N$127,14,0)</f>
        <v>103191556.41509433</v>
      </c>
      <c r="J103" s="7"/>
      <c r="K103" s="104">
        <f t="shared" si="3"/>
        <v>3.9143572845636005E-4</v>
      </c>
      <c r="L103" s="135"/>
    </row>
    <row r="104" spans="1:12">
      <c r="A104" s="176" t="s">
        <v>151</v>
      </c>
      <c r="B104" s="7"/>
      <c r="C104" s="181">
        <v>124283686748040</v>
      </c>
      <c r="D104" s="7"/>
      <c r="E104" s="66">
        <f>VLOOKUP(A104,'سود سپرده بانکی'!$A$7:$N$127,8,0)</f>
        <v>0</v>
      </c>
      <c r="F104" s="7"/>
      <c r="G104" s="104">
        <f t="shared" si="2"/>
        <v>0</v>
      </c>
      <c r="H104" s="7"/>
      <c r="I104" s="66">
        <f>VLOOKUP(A104,'سود سپرده بانکی'!$A$17:$N$127,14,0)</f>
        <v>7259181982.5</v>
      </c>
      <c r="J104" s="7"/>
      <c r="K104" s="104">
        <f t="shared" si="3"/>
        <v>2.7536198561508768E-2</v>
      </c>
      <c r="L104" s="135"/>
    </row>
    <row r="105" spans="1:12">
      <c r="A105" s="176" t="s">
        <v>110</v>
      </c>
      <c r="B105" s="7"/>
      <c r="C105" s="181">
        <v>124283686748036</v>
      </c>
      <c r="D105" s="7"/>
      <c r="E105" s="66">
        <f>VLOOKUP(A105,'سود سپرده بانکی'!$A$7:$N$127,8,0)</f>
        <v>0</v>
      </c>
      <c r="F105" s="7"/>
      <c r="G105" s="104">
        <f t="shared" si="2"/>
        <v>0</v>
      </c>
      <c r="H105" s="7"/>
      <c r="I105" s="66">
        <f>VLOOKUP(A105,'سود سپرده بانکی'!$A$17:$N$127,14,0)</f>
        <v>58909586.603773586</v>
      </c>
      <c r="J105" s="7"/>
      <c r="K105" s="104">
        <f t="shared" si="3"/>
        <v>2.2346127674006228E-4</v>
      </c>
      <c r="L105" s="135"/>
    </row>
    <row r="106" spans="1:12">
      <c r="A106" s="176" t="s">
        <v>244</v>
      </c>
      <c r="B106" s="7"/>
      <c r="C106" s="181">
        <v>124283686748034</v>
      </c>
      <c r="D106" s="7"/>
      <c r="E106" s="66">
        <f>VLOOKUP(A106,'سود سپرده بانکی'!$A$7:$N$127,8,0)</f>
        <v>0</v>
      </c>
      <c r="F106" s="7"/>
      <c r="G106" s="104">
        <f t="shared" si="2"/>
        <v>0</v>
      </c>
      <c r="H106" s="7"/>
      <c r="I106" s="66">
        <f>VLOOKUP(A106,'سود سپرده بانکی'!$A$17:$N$127,14,0)</f>
        <v>6740641.6981132077</v>
      </c>
      <c r="J106" s="7"/>
      <c r="K106" s="104">
        <f t="shared" si="3"/>
        <v>2.556922373329286E-5</v>
      </c>
      <c r="L106" s="135"/>
    </row>
    <row r="107" spans="1:12">
      <c r="A107" s="176" t="s">
        <v>245</v>
      </c>
      <c r="B107" s="7"/>
      <c r="C107" s="181">
        <v>124283686748033</v>
      </c>
      <c r="D107" s="7"/>
      <c r="E107" s="66">
        <f>VLOOKUP(A107,'سود سپرده بانکی'!$A$7:$N$127,8,0)</f>
        <v>0</v>
      </c>
      <c r="F107" s="7"/>
      <c r="G107" s="104">
        <f t="shared" si="2"/>
        <v>0</v>
      </c>
      <c r="H107" s="7"/>
      <c r="I107" s="66">
        <f>VLOOKUP(A107,'سود سپرده بانکی'!$A$17:$N$127,14,0)</f>
        <v>5715609.6226415094</v>
      </c>
      <c r="J107" s="7"/>
      <c r="K107" s="104">
        <f t="shared" si="3"/>
        <v>2.16809775328052E-5</v>
      </c>
      <c r="L107" s="135"/>
    </row>
    <row r="108" spans="1:12">
      <c r="A108" s="176" t="s">
        <v>95</v>
      </c>
      <c r="B108" s="7"/>
      <c r="C108" s="181">
        <v>12485068674801</v>
      </c>
      <c r="D108" s="7"/>
      <c r="E108" s="66">
        <f>VLOOKUP(A108,'سود سپرده بانکی'!$A$7:$N$127,8,0)</f>
        <v>5155</v>
      </c>
      <c r="F108" s="7"/>
      <c r="G108" s="104">
        <f t="shared" si="2"/>
        <v>3.6572196660814325E-7</v>
      </c>
      <c r="H108" s="7"/>
      <c r="I108" s="66">
        <f>VLOOKUP(A108,'سود سپرده بانکی'!$A$17:$N$127,14,0)</f>
        <v>7525401518</v>
      </c>
      <c r="J108" s="7"/>
      <c r="K108" s="104">
        <f t="shared" si="3"/>
        <v>2.8546047055203094E-2</v>
      </c>
      <c r="L108" s="135"/>
    </row>
    <row r="109" spans="1:12">
      <c r="A109" s="176" t="s">
        <v>106</v>
      </c>
      <c r="B109" s="7"/>
      <c r="C109" s="181" t="s">
        <v>303</v>
      </c>
      <c r="D109" s="7"/>
      <c r="E109" s="66">
        <f>VLOOKUP(A109,'سود سپرده بانکی'!$A$7:$N$127,8,0)</f>
        <v>0</v>
      </c>
      <c r="F109" s="7"/>
      <c r="G109" s="104">
        <f t="shared" si="2"/>
        <v>0</v>
      </c>
      <c r="H109" s="7"/>
      <c r="I109" s="66">
        <f>VLOOKUP(A109,'سود سپرده بانکی'!$A$17:$N$127,14,0)</f>
        <v>19955265.283018865</v>
      </c>
      <c r="J109" s="7"/>
      <c r="K109" s="104">
        <f t="shared" si="3"/>
        <v>7.5696152611337279E-5</v>
      </c>
      <c r="L109" s="135"/>
    </row>
    <row r="110" spans="1:12">
      <c r="A110" s="176" t="s">
        <v>139</v>
      </c>
      <c r="B110" s="7"/>
      <c r="C110" s="181">
        <v>124283686748041</v>
      </c>
      <c r="D110" s="7"/>
      <c r="E110" s="66">
        <f>VLOOKUP(A110,'سود سپرده بانکی'!$A$7:$N$127,8,0)</f>
        <v>0</v>
      </c>
      <c r="F110" s="7"/>
      <c r="G110" s="104">
        <f t="shared" si="2"/>
        <v>0</v>
      </c>
      <c r="H110" s="7"/>
      <c r="I110" s="66">
        <f>VLOOKUP(A110,'سود سپرده بانکی'!$A$17:$N$127,14,0)</f>
        <v>1629280759.1666667</v>
      </c>
      <c r="J110" s="7"/>
      <c r="K110" s="104">
        <f t="shared" si="3"/>
        <v>6.1803380332680728E-3</v>
      </c>
      <c r="L110" s="135"/>
    </row>
    <row r="111" spans="1:12">
      <c r="A111" s="176" t="s">
        <v>182</v>
      </c>
      <c r="B111" s="7"/>
      <c r="C111" s="181">
        <v>124283686748043</v>
      </c>
      <c r="D111" s="7"/>
      <c r="E111" s="66">
        <f>VLOOKUP(A111,'سود سپرده بانکی'!$A$7:$N$127,8,0)</f>
        <v>0</v>
      </c>
      <c r="F111" s="7"/>
      <c r="G111" s="104">
        <f t="shared" si="2"/>
        <v>0</v>
      </c>
      <c r="H111" s="7"/>
      <c r="I111" s="66">
        <f>VLOOKUP(A111,'سود سپرده بانکی'!$A$17:$N$127,14,0)</f>
        <v>3982191781.034483</v>
      </c>
      <c r="J111" s="7"/>
      <c r="K111" s="104">
        <f t="shared" si="3"/>
        <v>1.5105617114562228E-2</v>
      </c>
      <c r="L111" s="135"/>
    </row>
    <row r="112" spans="1:12">
      <c r="A112" s="176" t="s">
        <v>125</v>
      </c>
      <c r="B112" s="7"/>
      <c r="C112" s="181">
        <v>124283686748039</v>
      </c>
      <c r="D112" s="7"/>
      <c r="E112" s="66">
        <f>VLOOKUP(A112,'سود سپرده بانکی'!$A$7:$N$127,8,0)</f>
        <v>0</v>
      </c>
      <c r="F112" s="7"/>
      <c r="G112" s="104">
        <f t="shared" si="2"/>
        <v>0</v>
      </c>
      <c r="H112" s="7"/>
      <c r="I112" s="66">
        <f>VLOOKUP(A112,'سود سپرده بانکی'!$A$17:$N$127,14,0)</f>
        <v>1431564389.1509433</v>
      </c>
      <c r="J112" s="7"/>
      <c r="K112" s="104">
        <f t="shared" si="3"/>
        <v>5.4303420644745328E-3</v>
      </c>
      <c r="L112" s="135"/>
    </row>
    <row r="113" spans="1:12">
      <c r="A113" s="176" t="s">
        <v>246</v>
      </c>
      <c r="B113" s="7"/>
      <c r="C113" s="181" t="s">
        <v>304</v>
      </c>
      <c r="D113" s="7"/>
      <c r="E113" s="66">
        <f>VLOOKUP(A113,'سود سپرده بانکی'!$A$7:$N$127,8,0)</f>
        <v>0</v>
      </c>
      <c r="F113" s="7"/>
      <c r="G113" s="104">
        <f t="shared" si="2"/>
        <v>0</v>
      </c>
      <c r="H113" s="7"/>
      <c r="I113" s="66">
        <f>VLOOKUP(A113,'سود سپرده بانکی'!$A$17:$N$127,14,0)</f>
        <v>1049243.3653846155</v>
      </c>
      <c r="J113" s="7"/>
      <c r="K113" s="104">
        <f t="shared" si="3"/>
        <v>3.9800866982296332E-6</v>
      </c>
      <c r="L113" s="135"/>
    </row>
    <row r="114" spans="1:12">
      <c r="A114" s="176" t="s">
        <v>247</v>
      </c>
      <c r="B114" s="7"/>
      <c r="C114" s="181" t="s">
        <v>305</v>
      </c>
      <c r="D114" s="7"/>
      <c r="E114" s="66">
        <f>VLOOKUP(A114,'سود سپرده بانکی'!$A$7:$N$127,8,0)</f>
        <v>0</v>
      </c>
      <c r="F114" s="7"/>
      <c r="G114" s="104">
        <f t="shared" si="2"/>
        <v>0</v>
      </c>
      <c r="H114" s="7"/>
      <c r="I114" s="66">
        <f>VLOOKUP(A114,'سود سپرده بانکی'!$A$17:$N$127,14,0)</f>
        <v>6827283.173076923</v>
      </c>
      <c r="J114" s="7"/>
      <c r="K114" s="104">
        <f t="shared" si="3"/>
        <v>2.5897880166485244E-5</v>
      </c>
      <c r="L114" s="135"/>
    </row>
    <row r="115" spans="1:12">
      <c r="A115" s="176" t="s">
        <v>248</v>
      </c>
      <c r="B115" s="7"/>
      <c r="C115" s="181" t="s">
        <v>266</v>
      </c>
      <c r="D115" s="7"/>
      <c r="E115" s="66">
        <f>VLOOKUP(A115,'سود سپرده بانکی'!$A$7:$N$127,8,0)</f>
        <v>0</v>
      </c>
      <c r="F115" s="7"/>
      <c r="G115" s="104">
        <f t="shared" si="2"/>
        <v>0</v>
      </c>
      <c r="H115" s="7"/>
      <c r="I115" s="66">
        <f>VLOOKUP(A115,'سود سپرده بانکی'!$A$17:$N$127,14,0)</f>
        <v>15487729.615384616</v>
      </c>
      <c r="J115" s="7"/>
      <c r="K115" s="104">
        <f t="shared" si="3"/>
        <v>5.8749484306125202E-5</v>
      </c>
      <c r="L115" s="135"/>
    </row>
    <row r="116" spans="1:12">
      <c r="A116" s="176" t="s">
        <v>249</v>
      </c>
      <c r="B116" s="7"/>
      <c r="C116" s="181" t="s">
        <v>306</v>
      </c>
      <c r="D116" s="7"/>
      <c r="E116" s="66">
        <f>VLOOKUP(A116,'سود سپرده بانکی'!$A$7:$N$127,8,0)</f>
        <v>0</v>
      </c>
      <c r="F116" s="7"/>
      <c r="G116" s="104">
        <f t="shared" si="2"/>
        <v>0</v>
      </c>
      <c r="H116" s="7"/>
      <c r="I116" s="66">
        <f>VLOOKUP(A116,'سود سپرده بانکی'!$A$17:$N$127,14,0)</f>
        <v>2364422.884615385</v>
      </c>
      <c r="J116" s="7"/>
      <c r="K116" s="104">
        <f t="shared" si="3"/>
        <v>8.9689469407298436E-6</v>
      </c>
      <c r="L116" s="135"/>
    </row>
    <row r="117" spans="1:12">
      <c r="A117" s="176" t="s">
        <v>250</v>
      </c>
      <c r="B117" s="7"/>
      <c r="C117" s="181" t="s">
        <v>307</v>
      </c>
      <c r="D117" s="7"/>
      <c r="E117" s="66">
        <f>VLOOKUP(A117,'سود سپرده بانکی'!$A$7:$N$127,8,0)</f>
        <v>0</v>
      </c>
      <c r="F117" s="7"/>
      <c r="G117" s="104">
        <f t="shared" si="2"/>
        <v>0</v>
      </c>
      <c r="H117" s="7"/>
      <c r="I117" s="66">
        <f>VLOOKUP(A117,'سود سپرده بانکی'!$A$17:$N$127,14,0)</f>
        <v>6712181.826923077</v>
      </c>
      <c r="J117" s="7"/>
      <c r="K117" s="104">
        <f t="shared" si="3"/>
        <v>2.5461267125232113E-5</v>
      </c>
      <c r="L117" s="135"/>
    </row>
    <row r="118" spans="1:12">
      <c r="A118" s="176" t="s">
        <v>251</v>
      </c>
      <c r="B118" s="7"/>
      <c r="C118" s="181" t="s">
        <v>308</v>
      </c>
      <c r="D118" s="7"/>
      <c r="E118" s="66">
        <f>VLOOKUP(A118,'سود سپرده بانکی'!$A$7:$N$127,8,0)</f>
        <v>0</v>
      </c>
      <c r="F118" s="7"/>
      <c r="G118" s="104">
        <f t="shared" si="2"/>
        <v>0</v>
      </c>
      <c r="H118" s="7"/>
      <c r="I118" s="66">
        <f>VLOOKUP(A118,'سود سپرده بانکی'!$A$17:$N$127,14,0)</f>
        <v>863432.30769230763</v>
      </c>
      <c r="J118" s="7"/>
      <c r="K118" s="104">
        <f t="shared" si="3"/>
        <v>3.2752510580880888E-6</v>
      </c>
      <c r="L118" s="135"/>
    </row>
    <row r="119" spans="1:12">
      <c r="A119" s="176" t="s">
        <v>252</v>
      </c>
      <c r="B119" s="7"/>
      <c r="C119" s="181" t="s">
        <v>309</v>
      </c>
      <c r="D119" s="7"/>
      <c r="E119" s="66">
        <f>VLOOKUP(A119,'سود سپرده بانکی'!$A$7:$N$127,8,0)</f>
        <v>0</v>
      </c>
      <c r="F119" s="7"/>
      <c r="G119" s="104">
        <f t="shared" si="2"/>
        <v>0</v>
      </c>
      <c r="H119" s="7"/>
      <c r="I119" s="66">
        <f>VLOOKUP(A119,'سود سپرده بانکی'!$A$17:$N$127,14,0)</f>
        <v>1920928.846153846</v>
      </c>
      <c r="J119" s="7"/>
      <c r="K119" s="104">
        <f t="shared" si="3"/>
        <v>7.2866444535677035E-6</v>
      </c>
      <c r="L119" s="135"/>
    </row>
    <row r="120" spans="1:12">
      <c r="A120" s="176" t="s">
        <v>253</v>
      </c>
      <c r="B120" s="7"/>
      <c r="C120" s="181" t="s">
        <v>310</v>
      </c>
      <c r="D120" s="7"/>
      <c r="E120" s="66">
        <f>VLOOKUP(A120,'سود سپرده بانکی'!$A$7:$N$127,8,0)</f>
        <v>0</v>
      </c>
      <c r="F120" s="7"/>
      <c r="G120" s="104">
        <f t="shared" si="2"/>
        <v>0</v>
      </c>
      <c r="H120" s="7"/>
      <c r="I120" s="66">
        <f>VLOOKUP(A120,'سود سپرده بانکی'!$A$17:$N$127,14,0)</f>
        <v>2577493.557692308</v>
      </c>
      <c r="J120" s="7"/>
      <c r="K120" s="104">
        <f t="shared" si="3"/>
        <v>9.7771862679191405E-6</v>
      </c>
      <c r="L120" s="135"/>
    </row>
    <row r="121" spans="1:12">
      <c r="A121" s="176" t="s">
        <v>254</v>
      </c>
      <c r="B121" s="7"/>
      <c r="C121" s="181" t="s">
        <v>311</v>
      </c>
      <c r="D121" s="7"/>
      <c r="E121" s="66">
        <f>VLOOKUP(A121,'سود سپرده بانکی'!$A$7:$N$127,8,0)</f>
        <v>0</v>
      </c>
      <c r="F121" s="7"/>
      <c r="G121" s="104">
        <f t="shared" si="2"/>
        <v>0</v>
      </c>
      <c r="H121" s="7"/>
      <c r="I121" s="66">
        <f>VLOOKUP(A121,'سود سپرده بانکی'!$A$17:$N$127,14,0)</f>
        <v>2114528.3653846155</v>
      </c>
      <c r="J121" s="7"/>
      <c r="K121" s="104">
        <f t="shared" si="3"/>
        <v>8.0210240042943204E-6</v>
      </c>
      <c r="L121" s="135"/>
    </row>
    <row r="122" spans="1:12">
      <c r="A122" s="176" t="s">
        <v>255</v>
      </c>
      <c r="B122" s="7"/>
      <c r="C122" s="181" t="s">
        <v>312</v>
      </c>
      <c r="D122" s="7"/>
      <c r="E122" s="66">
        <f>VLOOKUP(A122,'سود سپرده بانکی'!$A$7:$N$127,8,0)</f>
        <v>0</v>
      </c>
      <c r="F122" s="7"/>
      <c r="G122" s="104">
        <f t="shared" si="2"/>
        <v>0</v>
      </c>
      <c r="H122" s="7"/>
      <c r="I122" s="66">
        <f>VLOOKUP(A122,'سود سپرده بانکی'!$A$17:$N$127,14,0)</f>
        <v>28501490.769230772</v>
      </c>
      <c r="J122" s="7"/>
      <c r="K122" s="104">
        <f t="shared" si="3"/>
        <v>1.0811448328648479E-4</v>
      </c>
      <c r="L122" s="135"/>
    </row>
    <row r="123" spans="1:12">
      <c r="A123" s="176" t="s">
        <v>256</v>
      </c>
      <c r="B123" s="7"/>
      <c r="C123" s="181">
        <v>-124283686748037</v>
      </c>
      <c r="D123" s="7"/>
      <c r="E123" s="66">
        <f>VLOOKUP(A123,'سود سپرده بانکی'!$A$7:$N$127,8,0)</f>
        <v>0</v>
      </c>
      <c r="F123" s="7"/>
      <c r="G123" s="104">
        <f t="shared" si="2"/>
        <v>0</v>
      </c>
      <c r="H123" s="7"/>
      <c r="I123" s="66">
        <f>VLOOKUP(A123,'سود سپرده بانکی'!$A$17:$N$127,14,0)</f>
        <v>1834881.7924528301</v>
      </c>
      <c r="J123" s="7"/>
      <c r="K123" s="104">
        <f t="shared" si="3"/>
        <v>6.9602428339284647E-6</v>
      </c>
      <c r="L123" s="135"/>
    </row>
    <row r="124" spans="1:12">
      <c r="A124" s="176" t="s">
        <v>257</v>
      </c>
      <c r="B124" s="7"/>
      <c r="C124" s="181" t="s">
        <v>313</v>
      </c>
      <c r="D124" s="7"/>
      <c r="E124" s="66">
        <f>VLOOKUP(A124,'سود سپرده بانکی'!$A$7:$N$127,8,0)</f>
        <v>0</v>
      </c>
      <c r="F124" s="7"/>
      <c r="G124" s="104">
        <f t="shared" si="2"/>
        <v>0</v>
      </c>
      <c r="H124" s="7"/>
      <c r="I124" s="66">
        <f>VLOOKUP(A124,'سود سپرده بانکی'!$A$17:$N$127,14,0)</f>
        <v>9087653.2075471692</v>
      </c>
      <c r="J124" s="7"/>
      <c r="K124" s="104">
        <f t="shared" si="3"/>
        <v>3.4472124239950601E-5</v>
      </c>
      <c r="L124" s="135"/>
    </row>
    <row r="125" spans="1:12">
      <c r="A125" s="176" t="s">
        <v>258</v>
      </c>
      <c r="B125" s="7"/>
      <c r="C125" s="181" t="s">
        <v>314</v>
      </c>
      <c r="D125" s="7"/>
      <c r="E125" s="66">
        <f>VLOOKUP(A125,'سود سپرده بانکی'!$A$7:$N$127,8,0)</f>
        <v>0</v>
      </c>
      <c r="F125" s="7"/>
      <c r="G125" s="104">
        <f t="shared" si="2"/>
        <v>0</v>
      </c>
      <c r="H125" s="7"/>
      <c r="I125" s="66">
        <f>VLOOKUP(A125,'سود سپرده بانکی'!$A$17:$N$127,14,0)</f>
        <v>2643495.283018868</v>
      </c>
      <c r="J125" s="7"/>
      <c r="K125" s="104">
        <f t="shared" si="3"/>
        <v>1.0027550099322691E-5</v>
      </c>
      <c r="L125" s="135"/>
    </row>
    <row r="126" spans="1:12">
      <c r="A126" s="200" t="s">
        <v>315</v>
      </c>
      <c r="B126" s="7"/>
      <c r="C126" s="181">
        <v>407482631001</v>
      </c>
      <c r="D126" s="7"/>
      <c r="E126" s="66">
        <f>VLOOKUP(A126,'سود سپرده بانکی'!$A$7:$N$127,8,0)</f>
        <v>327868852</v>
      </c>
      <c r="F126" s="7"/>
      <c r="G126" s="104">
        <f t="shared" ref="G126:G127" si="4">E126/$E$129</f>
        <v>2.3260686972452815E-2</v>
      </c>
      <c r="H126" s="7"/>
      <c r="I126" s="66">
        <f>VLOOKUP(A126,'سود سپرده بانکی'!$A$17:$N$127,14,0)</f>
        <v>5122950812.5</v>
      </c>
      <c r="J126" s="7"/>
      <c r="K126" s="104">
        <f t="shared" ref="K126:K127" si="5">I126/$I$129</f>
        <v>1.9432849477243792E-2</v>
      </c>
      <c r="L126" s="135"/>
    </row>
    <row r="127" spans="1:12">
      <c r="A127" s="200" t="s">
        <v>316</v>
      </c>
      <c r="B127" s="7"/>
      <c r="C127" s="181">
        <v>407480984009</v>
      </c>
      <c r="D127" s="7"/>
      <c r="E127" s="66">
        <f>VLOOKUP(A127,'سود سپرده بانکی'!$A$7:$N$127,8,0)</f>
        <v>63259106</v>
      </c>
      <c r="F127" s="7"/>
      <c r="G127" s="104">
        <f t="shared" si="4"/>
        <v>4.4879233078938888E-3</v>
      </c>
      <c r="H127" s="7"/>
      <c r="I127" s="66">
        <f>VLOOKUP(A127,'سود سپرده بانکی'!$A$17:$N$127,14,0)</f>
        <v>1012144346</v>
      </c>
      <c r="J127" s="7"/>
      <c r="K127" s="104">
        <f t="shared" si="5"/>
        <v>3.8393592765070803E-3</v>
      </c>
      <c r="L127" s="135"/>
    </row>
    <row r="128" spans="1:12" ht="22.5" thickBot="1">
      <c r="A128" s="176" t="s">
        <v>97</v>
      </c>
      <c r="B128" s="7"/>
      <c r="C128" s="181">
        <v>1.00510810707074E+17</v>
      </c>
      <c r="D128" s="7"/>
      <c r="E128" s="66">
        <f>VLOOKUP(A128,'سود سپرده بانکی'!$A$7:$N$127,8,0)</f>
        <v>5385</v>
      </c>
      <c r="F128" s="7"/>
      <c r="G128" s="104">
        <f t="shared" si="2"/>
        <v>3.8203933854216322E-7</v>
      </c>
      <c r="H128" s="7"/>
      <c r="I128" s="66">
        <f>VLOOKUP(A128,'سود سپرده بانکی'!$A$17:$N$127,14,0)</f>
        <v>55729367</v>
      </c>
      <c r="J128" s="7"/>
      <c r="K128" s="104">
        <f t="shared" si="3"/>
        <v>2.1139777444878158E-4</v>
      </c>
      <c r="L128" s="135"/>
    </row>
    <row r="129" spans="1:12" ht="22.5" thickBot="1">
      <c r="A129" s="177" t="s">
        <v>2</v>
      </c>
      <c r="B129" s="174"/>
      <c r="D129" s="177"/>
      <c r="E129" s="402">
        <f>SUM(E8:E128)</f>
        <v>14095407087</v>
      </c>
      <c r="F129" s="403"/>
      <c r="G129" s="404">
        <f>SUM(G8:G128)</f>
        <v>1.0000000000000002</v>
      </c>
      <c r="H129" s="403"/>
      <c r="I129" s="402">
        <f>SUM(I8:I128)</f>
        <v>263623243647.2616</v>
      </c>
      <c r="J129" s="403"/>
      <c r="K129" s="404">
        <f>SUM(K8:K128)</f>
        <v>1.0000000000000002</v>
      </c>
      <c r="L129" s="135"/>
    </row>
    <row r="130" spans="1:12" ht="22.5" thickTop="1"/>
  </sheetData>
  <autoFilter ref="A7:L129" xr:uid="{00000000-0009-0000-0000-00000C000000}">
    <sortState xmlns:xlrd2="http://schemas.microsoft.com/office/spreadsheetml/2017/richdata2" ref="A8:L50">
      <sortCondition sortBy="cellColor" ref="I8:I50" dxfId="5"/>
      <sortCondition sortBy="cellColor" ref="E8:E50" dxfId="4"/>
      <sortCondition sortBy="cellColor" ref="E8:E50" dxfId="3"/>
      <sortCondition descending="1" sortBy="cellColor" ref="E8:E50" dxfId="2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2" type="noConversion"/>
  <conditionalFormatting sqref="A1:A13 A20:A38 A40:A1048576">
    <cfRule type="duplicateValues" dxfId="1" priority="3"/>
  </conditionalFormatting>
  <pageMargins left="0.7" right="0.7" top="0.75" bottom="0.75" header="0.3" footer="0.3"/>
  <pageSetup paperSize="9" scale="1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C15"/>
  <sheetViews>
    <sheetView rightToLeft="1" view="pageBreakPreview" topLeftCell="A4" zoomScale="70" zoomScaleNormal="100" zoomScaleSheetLayoutView="70" workbookViewId="0">
      <selection activeCell="K10" sqref="K10"/>
    </sheetView>
  </sheetViews>
  <sheetFormatPr defaultColWidth="9.140625" defaultRowHeight="30.75" customHeight="1"/>
  <cols>
    <col min="1" max="1" width="37.5703125" style="131" customWidth="1"/>
    <col min="2" max="2" width="0.5703125" style="131" customWidth="1"/>
    <col min="3" max="3" width="14" style="131" customWidth="1"/>
    <col min="4" max="4" width="0.42578125" style="131" customWidth="1"/>
    <col min="5" max="5" width="14" style="131" customWidth="1"/>
    <col min="6" max="6" width="0.5703125" style="131" customWidth="1"/>
    <col min="7" max="7" width="22.5703125" style="75" customWidth="1"/>
    <col min="8" max="8" width="0.42578125" style="75" customWidth="1"/>
    <col min="9" max="9" width="14" style="75" customWidth="1"/>
    <col min="10" max="10" width="0.7109375" style="75" customWidth="1"/>
    <col min="11" max="11" width="22.5703125" style="75" customWidth="1"/>
    <col min="12" max="12" width="0.7109375" style="75" customWidth="1"/>
    <col min="13" max="13" width="24.5703125" style="75" customWidth="1"/>
    <col min="14" max="14" width="0.5703125" style="75" customWidth="1"/>
    <col min="15" max="15" width="18.140625" style="75" customWidth="1"/>
    <col min="16" max="16" width="0.5703125" style="75" customWidth="1"/>
    <col min="17" max="17" width="26.140625" style="75" customWidth="1"/>
    <col min="18" max="18" width="16" style="195" customWidth="1"/>
    <col min="19" max="19" width="6.42578125" style="131" customWidth="1"/>
    <col min="20" max="20" width="17.85546875" style="131" customWidth="1"/>
    <col min="21" max="21" width="15.42578125" style="131" customWidth="1"/>
    <col min="22" max="22" width="3.28515625" style="131" customWidth="1"/>
    <col min="23" max="23" width="4.28515625" style="131" customWidth="1"/>
    <col min="24" max="24" width="7.5703125" style="197" customWidth="1"/>
    <col min="25" max="25" width="13.85546875" style="195" customWidth="1"/>
    <col min="26" max="26" width="6.42578125" style="131" customWidth="1"/>
    <col min="27" max="27" width="16" style="195" customWidth="1"/>
    <col min="28" max="28" width="6.42578125" style="131" customWidth="1"/>
    <col min="29" max="29" width="13.140625" style="131" customWidth="1"/>
    <col min="30" max="30" width="21" style="131" customWidth="1"/>
    <col min="31" max="16384" width="9.140625" style="131"/>
  </cols>
  <sheetData>
    <row r="1" spans="1:29" ht="30.75" customHeight="1">
      <c r="A1" s="321" t="s">
        <v>80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29" ht="30.75" customHeight="1">
      <c r="A2" s="321" t="s">
        <v>50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</row>
    <row r="3" spans="1:29" ht="30.75" customHeight="1">
      <c r="A3" s="321" t="str">
        <f>' سهام'!A3:W3</f>
        <v>برای ماه منتهی به 1403/09/30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</row>
    <row r="4" spans="1:29" ht="30.75" customHeight="1">
      <c r="A4" s="377" t="s">
        <v>237</v>
      </c>
      <c r="B4" s="377"/>
      <c r="C4" s="377"/>
      <c r="D4" s="377"/>
      <c r="E4" s="377"/>
      <c r="F4" s="377"/>
      <c r="G4" s="377"/>
      <c r="H4" s="71"/>
      <c r="I4" s="72"/>
      <c r="J4" s="72"/>
      <c r="K4" s="72"/>
      <c r="L4" s="72"/>
      <c r="M4" s="72"/>
      <c r="N4" s="72"/>
      <c r="O4" s="69"/>
      <c r="P4" s="72"/>
      <c r="Q4" s="72"/>
    </row>
    <row r="5" spans="1:29" ht="30.75" customHeight="1" thickBot="1">
      <c r="A5" s="193"/>
      <c r="B5" s="378"/>
      <c r="C5" s="378"/>
      <c r="D5" s="378"/>
      <c r="E5" s="378"/>
      <c r="F5" s="162"/>
      <c r="G5" s="379" t="s">
        <v>292</v>
      </c>
      <c r="H5" s="379"/>
      <c r="I5" s="379"/>
      <c r="J5" s="379"/>
      <c r="K5" s="379"/>
      <c r="L5" s="72"/>
      <c r="M5" s="379" t="s">
        <v>294</v>
      </c>
      <c r="N5" s="379"/>
      <c r="O5" s="379"/>
      <c r="P5" s="379"/>
      <c r="Q5" s="379"/>
    </row>
    <row r="6" spans="1:29" ht="42" customHeight="1" thickBot="1">
      <c r="A6" s="19" t="s">
        <v>32</v>
      </c>
      <c r="B6" s="163"/>
      <c r="C6" s="164" t="s">
        <v>21</v>
      </c>
      <c r="D6" s="163"/>
      <c r="E6" s="164" t="s">
        <v>29</v>
      </c>
      <c r="F6" s="163"/>
      <c r="G6" s="73" t="s">
        <v>51</v>
      </c>
      <c r="H6" s="74"/>
      <c r="I6" s="73" t="s">
        <v>34</v>
      </c>
      <c r="J6" s="74"/>
      <c r="K6" s="73" t="s">
        <v>35</v>
      </c>
      <c r="L6" s="72"/>
      <c r="M6" s="73" t="s">
        <v>51</v>
      </c>
      <c r="N6" s="74"/>
      <c r="O6" s="73" t="s">
        <v>34</v>
      </c>
      <c r="P6" s="74"/>
      <c r="Q6" s="73" t="s">
        <v>35</v>
      </c>
    </row>
    <row r="7" spans="1:29" ht="30" customHeight="1">
      <c r="A7" s="200" t="s">
        <v>282</v>
      </c>
      <c r="B7" s="167"/>
      <c r="C7" s="166" t="s">
        <v>284</v>
      </c>
      <c r="D7" s="105"/>
      <c r="E7" s="86">
        <v>26</v>
      </c>
      <c r="F7" s="105"/>
      <c r="G7" s="166">
        <v>5949531817</v>
      </c>
      <c r="H7" s="166"/>
      <c r="I7" s="166">
        <v>0</v>
      </c>
      <c r="J7" s="166"/>
      <c r="K7" s="166">
        <f>G7+I7</f>
        <v>5949531817</v>
      </c>
      <c r="L7" s="166"/>
      <c r="M7" s="166">
        <v>10697756525</v>
      </c>
      <c r="N7" s="166"/>
      <c r="O7" s="166">
        <v>0</v>
      </c>
      <c r="P7" s="166"/>
      <c r="Q7" s="166">
        <f>M7+O7</f>
        <v>10697756525</v>
      </c>
      <c r="S7" s="203"/>
      <c r="T7" s="140"/>
      <c r="X7" s="199"/>
      <c r="AB7" s="203"/>
      <c r="AC7" s="140"/>
    </row>
    <row r="8" spans="1:29" ht="30" customHeight="1">
      <c r="A8" s="200" t="s">
        <v>113</v>
      </c>
      <c r="B8" s="167"/>
      <c r="C8" s="166" t="s">
        <v>114</v>
      </c>
      <c r="D8" s="105"/>
      <c r="E8" s="86">
        <v>15</v>
      </c>
      <c r="F8" s="105"/>
      <c r="G8" s="166">
        <v>0</v>
      </c>
      <c r="H8" s="166"/>
      <c r="I8" s="166">
        <v>0</v>
      </c>
      <c r="J8" s="166"/>
      <c r="K8" s="166">
        <f t="shared" ref="K8:K13" si="0">G8+I8</f>
        <v>0</v>
      </c>
      <c r="L8" s="166"/>
      <c r="M8" s="166">
        <v>38098063699</v>
      </c>
      <c r="N8" s="166"/>
      <c r="O8" s="166">
        <v>0</v>
      </c>
      <c r="P8" s="166"/>
      <c r="Q8" s="166">
        <f t="shared" ref="Q8:Q13" si="1">M8+O8</f>
        <v>38098063699</v>
      </c>
      <c r="S8" s="203"/>
      <c r="T8" s="140"/>
      <c r="X8" s="198"/>
      <c r="Z8" s="203"/>
      <c r="AB8" s="203"/>
      <c r="AC8" s="140"/>
    </row>
    <row r="9" spans="1:29" ht="30" customHeight="1">
      <c r="A9" s="200" t="s">
        <v>100</v>
      </c>
      <c r="B9" s="167"/>
      <c r="C9" s="166" t="s">
        <v>278</v>
      </c>
      <c r="D9" s="105"/>
      <c r="E9" s="86">
        <v>23</v>
      </c>
      <c r="F9" s="105"/>
      <c r="G9" s="166">
        <v>0</v>
      </c>
      <c r="H9" s="166"/>
      <c r="I9" s="166">
        <v>0</v>
      </c>
      <c r="J9" s="166"/>
      <c r="K9" s="166">
        <f t="shared" si="0"/>
        <v>0</v>
      </c>
      <c r="L9" s="166"/>
      <c r="M9" s="166">
        <v>59645736769</v>
      </c>
      <c r="N9" s="166"/>
      <c r="O9" s="166">
        <v>0</v>
      </c>
      <c r="P9" s="166"/>
      <c r="Q9" s="166">
        <f t="shared" si="1"/>
        <v>59645736769</v>
      </c>
      <c r="S9" s="203"/>
      <c r="T9" s="140"/>
      <c r="X9" s="198"/>
      <c r="Z9" s="203"/>
      <c r="AB9" s="203"/>
      <c r="AC9" s="140"/>
    </row>
    <row r="10" spans="1:29" ht="30" customHeight="1">
      <c r="A10" s="200" t="s">
        <v>188</v>
      </c>
      <c r="B10" s="167"/>
      <c r="C10" s="166" t="s">
        <v>192</v>
      </c>
      <c r="D10" s="105"/>
      <c r="E10" s="86">
        <v>23</v>
      </c>
      <c r="F10" s="105"/>
      <c r="G10" s="166">
        <v>8748334283</v>
      </c>
      <c r="H10" s="166"/>
      <c r="I10" s="166">
        <v>0</v>
      </c>
      <c r="J10" s="166"/>
      <c r="K10" s="166">
        <f t="shared" si="0"/>
        <v>8748334283</v>
      </c>
      <c r="L10" s="166"/>
      <c r="M10" s="166">
        <v>128254721345</v>
      </c>
      <c r="N10" s="166"/>
      <c r="O10" s="166">
        <v>0</v>
      </c>
      <c r="P10" s="166"/>
      <c r="Q10" s="166">
        <f t="shared" si="1"/>
        <v>128254721345</v>
      </c>
      <c r="S10" s="203"/>
      <c r="T10" s="140"/>
      <c r="X10" s="198"/>
      <c r="Z10" s="209"/>
      <c r="AB10" s="203"/>
      <c r="AC10" s="140"/>
    </row>
    <row r="11" spans="1:29" ht="30" customHeight="1">
      <c r="A11" s="200" t="s">
        <v>134</v>
      </c>
      <c r="B11" s="167"/>
      <c r="C11" s="166" t="s">
        <v>122</v>
      </c>
      <c r="D11" s="105"/>
      <c r="E11" s="86">
        <v>20.5</v>
      </c>
      <c r="F11" s="105"/>
      <c r="G11" s="166">
        <v>0</v>
      </c>
      <c r="H11" s="166"/>
      <c r="I11" s="166">
        <v>0</v>
      </c>
      <c r="J11" s="166"/>
      <c r="K11" s="166">
        <f t="shared" si="0"/>
        <v>0</v>
      </c>
      <c r="L11" s="166"/>
      <c r="M11" s="166">
        <v>8269843927</v>
      </c>
      <c r="N11" s="166"/>
      <c r="O11" s="166">
        <v>0</v>
      </c>
      <c r="P11" s="166"/>
      <c r="Q11" s="166">
        <f t="shared" si="1"/>
        <v>8269843927</v>
      </c>
      <c r="S11" s="203"/>
      <c r="T11" s="140"/>
      <c r="X11" s="198"/>
      <c r="Z11" s="209"/>
      <c r="AB11" s="203"/>
      <c r="AC11" s="140"/>
    </row>
    <row r="12" spans="1:29" ht="30" customHeight="1">
      <c r="A12" s="200" t="s">
        <v>120</v>
      </c>
      <c r="B12" s="167"/>
      <c r="C12" s="166" t="s">
        <v>279</v>
      </c>
      <c r="D12" s="105"/>
      <c r="E12" s="86">
        <v>18</v>
      </c>
      <c r="F12" s="105"/>
      <c r="G12" s="166">
        <v>4636640551</v>
      </c>
      <c r="H12" s="166"/>
      <c r="I12" s="166">
        <v>0</v>
      </c>
      <c r="J12" s="166"/>
      <c r="K12" s="166">
        <f t="shared" si="0"/>
        <v>4636640551</v>
      </c>
      <c r="L12" s="166"/>
      <c r="M12" s="166">
        <v>74567085845</v>
      </c>
      <c r="N12" s="166"/>
      <c r="O12" s="166">
        <v>0</v>
      </c>
      <c r="P12" s="166"/>
      <c r="Q12" s="166">
        <f t="shared" si="1"/>
        <v>74567085845</v>
      </c>
      <c r="S12" s="203"/>
      <c r="T12" s="140"/>
      <c r="X12" s="198"/>
      <c r="Z12" s="203"/>
      <c r="AB12" s="203"/>
      <c r="AC12" s="140"/>
    </row>
    <row r="13" spans="1:29" ht="30" customHeight="1">
      <c r="A13" s="176" t="s">
        <v>112</v>
      </c>
      <c r="B13" s="167"/>
      <c r="C13" s="166" t="s">
        <v>101</v>
      </c>
      <c r="D13" s="105"/>
      <c r="E13" s="86">
        <v>18</v>
      </c>
      <c r="F13" s="105"/>
      <c r="G13" s="166">
        <v>0</v>
      </c>
      <c r="H13" s="166"/>
      <c r="I13" s="166">
        <v>0</v>
      </c>
      <c r="J13" s="166"/>
      <c r="K13" s="166">
        <f t="shared" si="0"/>
        <v>0</v>
      </c>
      <c r="L13" s="166"/>
      <c r="M13" s="166">
        <v>760435788</v>
      </c>
      <c r="N13" s="166"/>
      <c r="O13" s="166">
        <v>0</v>
      </c>
      <c r="P13" s="166"/>
      <c r="Q13" s="166">
        <f t="shared" si="1"/>
        <v>760435788</v>
      </c>
      <c r="S13" s="203"/>
      <c r="T13" s="140"/>
      <c r="X13" s="198"/>
      <c r="Z13" s="203"/>
      <c r="AB13" s="203"/>
      <c r="AC13" s="140"/>
    </row>
    <row r="14" spans="1:29" s="105" customFormat="1" ht="24.75" customHeight="1" thickBot="1">
      <c r="A14" s="240" t="s">
        <v>2</v>
      </c>
      <c r="B14" s="241"/>
      <c r="C14" s="242"/>
      <c r="D14" s="243"/>
      <c r="E14" s="244"/>
      <c r="F14" s="258">
        <f>SUM(F7:F13)</f>
        <v>0</v>
      </c>
      <c r="G14" s="405">
        <f>SUM(G7:G13)</f>
        <v>19334506651</v>
      </c>
      <c r="H14" s="406"/>
      <c r="I14" s="405">
        <f>SUM(I7:I13)</f>
        <v>0</v>
      </c>
      <c r="J14" s="406">
        <f>SUM(J7:J13)</f>
        <v>0</v>
      </c>
      <c r="K14" s="405">
        <f>SUM(K7:K13)</f>
        <v>19334506651</v>
      </c>
      <c r="L14" s="406"/>
      <c r="M14" s="405">
        <f>SUM(M7:M13)</f>
        <v>320293643898</v>
      </c>
      <c r="N14" s="406"/>
      <c r="O14" s="405">
        <f>SUM(O7:O13)</f>
        <v>0</v>
      </c>
      <c r="P14" s="406"/>
      <c r="Q14" s="405">
        <f>SUM(Q7:Q13)</f>
        <v>320293643898</v>
      </c>
      <c r="R14" s="196"/>
      <c r="T14" s="165"/>
      <c r="X14" s="198"/>
      <c r="Y14" s="196"/>
      <c r="AA14" s="196"/>
      <c r="AC14" s="165"/>
    </row>
    <row r="15" spans="1:29" ht="30.75" customHeight="1" thickTop="1">
      <c r="H15" s="69"/>
      <c r="J15" s="69"/>
      <c r="L15" s="69"/>
      <c r="P15" s="69"/>
    </row>
  </sheetData>
  <autoFilter ref="A6:Q13" xr:uid="{00000000-0009-0000-0000-000006000000}">
    <sortState xmlns:xlrd2="http://schemas.microsoft.com/office/spreadsheetml/2017/richdata2" ref="A7:Q13">
      <sortCondition descending="1" ref="A6:A13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3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129"/>
  <sheetViews>
    <sheetView rightToLeft="1" view="pageBreakPreview" topLeftCell="A124" zoomScale="115" zoomScaleNormal="100" zoomScaleSheetLayoutView="115" workbookViewId="0">
      <selection activeCell="D128" sqref="D128:N128"/>
    </sheetView>
  </sheetViews>
  <sheetFormatPr defaultColWidth="9.140625" defaultRowHeight="30.75" customHeight="1"/>
  <cols>
    <col min="1" max="1" width="34.5703125" style="131" bestFit="1" customWidth="1"/>
    <col min="2" max="2" width="0.85546875" style="131" customWidth="1"/>
    <col min="3" max="3" width="1" style="131" customWidth="1"/>
    <col min="4" max="4" width="19.140625" style="75" customWidth="1"/>
    <col min="5" max="5" width="0.85546875" style="75" customWidth="1"/>
    <col min="6" max="6" width="14" style="75" customWidth="1"/>
    <col min="7" max="7" width="0.7109375" style="75" customWidth="1"/>
    <col min="8" max="8" width="18.140625" style="75" customWidth="1"/>
    <col min="9" max="9" width="0.7109375" style="75" customWidth="1"/>
    <col min="10" max="10" width="20" style="75" customWidth="1"/>
    <col min="11" max="11" width="0.5703125" style="75" customWidth="1"/>
    <col min="12" max="12" width="16.42578125" style="75" customWidth="1"/>
    <col min="13" max="13" width="0.5703125" style="75" customWidth="1"/>
    <col min="14" max="14" width="18.85546875" style="75" customWidth="1"/>
    <col min="15" max="16384" width="9.140625" style="131"/>
  </cols>
  <sheetData>
    <row r="1" spans="1:14" ht="30.75" customHeight="1">
      <c r="A1" s="321" t="s">
        <v>80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30.75" customHeight="1">
      <c r="A2" s="321" t="s">
        <v>50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4" ht="30.75" customHeight="1">
      <c r="A3" s="321" t="str">
        <f>' سهام'!A3:W3</f>
        <v>برای ماه منتهی به 1403/09/30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30.75" customHeight="1">
      <c r="A4" s="377" t="s">
        <v>238</v>
      </c>
      <c r="B4" s="377"/>
      <c r="C4" s="377"/>
      <c r="D4" s="377"/>
      <c r="E4" s="71"/>
      <c r="F4" s="72"/>
      <c r="G4" s="72"/>
      <c r="H4" s="72"/>
      <c r="I4" s="72"/>
      <c r="J4" s="72"/>
      <c r="K4" s="72"/>
      <c r="L4" s="69"/>
      <c r="M4" s="72"/>
      <c r="N4" s="72"/>
    </row>
    <row r="5" spans="1:14" ht="30.75" customHeight="1" thickBot="1">
      <c r="A5" s="193"/>
      <c r="B5" s="250"/>
      <c r="C5" s="162"/>
      <c r="D5" s="379" t="s">
        <v>292</v>
      </c>
      <c r="E5" s="379"/>
      <c r="F5" s="379"/>
      <c r="G5" s="379"/>
      <c r="H5" s="379"/>
      <c r="I5" s="72"/>
      <c r="J5" s="379" t="s">
        <v>294</v>
      </c>
      <c r="K5" s="379"/>
      <c r="L5" s="379"/>
      <c r="M5" s="379"/>
      <c r="N5" s="379"/>
    </row>
    <row r="6" spans="1:14" ht="42" customHeight="1" thickBot="1">
      <c r="A6" s="19" t="s">
        <v>32</v>
      </c>
      <c r="B6" s="163"/>
      <c r="C6" s="163"/>
      <c r="D6" s="73" t="s">
        <v>51</v>
      </c>
      <c r="E6" s="74"/>
      <c r="F6" s="73" t="s">
        <v>34</v>
      </c>
      <c r="G6" s="74"/>
      <c r="H6" s="73" t="s">
        <v>35</v>
      </c>
      <c r="I6" s="72"/>
      <c r="J6" s="73" t="s">
        <v>51</v>
      </c>
      <c r="K6" s="74"/>
      <c r="L6" s="73" t="s">
        <v>34</v>
      </c>
      <c r="M6" s="74"/>
      <c r="N6" s="73" t="s">
        <v>35</v>
      </c>
    </row>
    <row r="7" spans="1:14" ht="17.45" customHeight="1">
      <c r="A7" s="200" t="s">
        <v>99</v>
      </c>
      <c r="B7" s="163"/>
      <c r="C7" s="163"/>
      <c r="D7" s="66">
        <v>2412</v>
      </c>
      <c r="E7" s="66"/>
      <c r="F7" s="273">
        <v>0</v>
      </c>
      <c r="G7" s="66"/>
      <c r="H7" s="66">
        <f>D7+F7</f>
        <v>2412</v>
      </c>
      <c r="I7" s="72"/>
      <c r="J7" s="273">
        <v>28855</v>
      </c>
      <c r="K7" s="274"/>
      <c r="L7" s="273">
        <v>0</v>
      </c>
      <c r="M7" s="274"/>
      <c r="N7" s="66">
        <f>J7+L7</f>
        <v>28855</v>
      </c>
    </row>
    <row r="8" spans="1:14" ht="17.45" customHeight="1">
      <c r="A8" s="200" t="s">
        <v>93</v>
      </c>
      <c r="B8" s="163"/>
      <c r="C8" s="163"/>
      <c r="D8" s="66">
        <v>25390</v>
      </c>
      <c r="E8" s="66"/>
      <c r="F8" s="273">
        <v>0</v>
      </c>
      <c r="G8" s="66"/>
      <c r="H8" s="66">
        <f t="shared" ref="H8:H71" si="0">D8+F8</f>
        <v>25390</v>
      </c>
      <c r="I8" s="72"/>
      <c r="J8" s="273">
        <f>61338+8575841578</f>
        <v>8575902916</v>
      </c>
      <c r="K8" s="274"/>
      <c r="L8" s="273">
        <v>0</v>
      </c>
      <c r="M8" s="274"/>
      <c r="N8" s="66">
        <f t="shared" ref="N8:N71" si="1">J8+L8</f>
        <v>8575902916</v>
      </c>
    </row>
    <row r="9" spans="1:14" ht="17.45" customHeight="1">
      <c r="A9" s="200" t="s">
        <v>142</v>
      </c>
      <c r="B9" s="163"/>
      <c r="C9" s="163"/>
      <c r="D9" s="66">
        <v>0</v>
      </c>
      <c r="E9" s="66"/>
      <c r="F9" s="273">
        <v>0</v>
      </c>
      <c r="G9" s="66"/>
      <c r="H9" s="66">
        <f t="shared" si="0"/>
        <v>0</v>
      </c>
      <c r="I9" s="72"/>
      <c r="J9" s="273">
        <v>1145690481.0280373</v>
      </c>
      <c r="K9" s="274"/>
      <c r="L9" s="273">
        <v>0</v>
      </c>
      <c r="M9" s="274"/>
      <c r="N9" s="66">
        <f t="shared" si="1"/>
        <v>1145690481.0280373</v>
      </c>
    </row>
    <row r="10" spans="1:14" ht="17.45" customHeight="1">
      <c r="A10" s="200" t="s">
        <v>103</v>
      </c>
      <c r="B10" s="163"/>
      <c r="C10" s="163"/>
      <c r="D10" s="66">
        <v>0</v>
      </c>
      <c r="E10" s="66"/>
      <c r="F10" s="273">
        <v>0</v>
      </c>
      <c r="G10" s="66"/>
      <c r="H10" s="66">
        <f t="shared" si="0"/>
        <v>0</v>
      </c>
      <c r="I10" s="72"/>
      <c r="J10" s="273">
        <v>10554357.980769232</v>
      </c>
      <c r="K10" s="274"/>
      <c r="L10" s="273">
        <v>0</v>
      </c>
      <c r="M10" s="274"/>
      <c r="N10" s="66">
        <f t="shared" si="1"/>
        <v>10554357.980769232</v>
      </c>
    </row>
    <row r="11" spans="1:14" ht="17.45" customHeight="1">
      <c r="A11" s="200" t="s">
        <v>105</v>
      </c>
      <c r="B11" s="163"/>
      <c r="C11" s="163"/>
      <c r="D11" s="66">
        <v>0</v>
      </c>
      <c r="E11" s="66"/>
      <c r="F11" s="273">
        <v>0</v>
      </c>
      <c r="G11" s="66"/>
      <c r="H11" s="66">
        <f t="shared" si="0"/>
        <v>0</v>
      </c>
      <c r="I11" s="72"/>
      <c r="J11" s="273">
        <v>13592275.961538462</v>
      </c>
      <c r="K11" s="274"/>
      <c r="L11" s="273">
        <v>0</v>
      </c>
      <c r="M11" s="274"/>
      <c r="N11" s="66">
        <f t="shared" si="1"/>
        <v>13592275.961538462</v>
      </c>
    </row>
    <row r="12" spans="1:14" ht="17.45" customHeight="1">
      <c r="A12" s="200" t="s">
        <v>145</v>
      </c>
      <c r="B12" s="163"/>
      <c r="C12" s="163"/>
      <c r="D12" s="66">
        <v>0</v>
      </c>
      <c r="E12" s="66"/>
      <c r="F12" s="273">
        <v>0</v>
      </c>
      <c r="G12" s="66"/>
      <c r="H12" s="66">
        <f t="shared" si="0"/>
        <v>0</v>
      </c>
      <c r="I12" s="72"/>
      <c r="J12" s="273">
        <v>11624457203.831776</v>
      </c>
      <c r="K12" s="274"/>
      <c r="L12" s="273">
        <v>0</v>
      </c>
      <c r="M12" s="274"/>
      <c r="N12" s="66">
        <f t="shared" si="1"/>
        <v>11624457203.831776</v>
      </c>
    </row>
    <row r="13" spans="1:14" ht="17.45" customHeight="1">
      <c r="A13" s="200" t="s">
        <v>111</v>
      </c>
      <c r="B13" s="163"/>
      <c r="C13" s="163"/>
      <c r="D13" s="66">
        <v>0</v>
      </c>
      <c r="E13" s="66"/>
      <c r="F13" s="273">
        <v>0</v>
      </c>
      <c r="G13" s="66"/>
      <c r="H13" s="66">
        <f t="shared" si="0"/>
        <v>0</v>
      </c>
      <c r="I13" s="72"/>
      <c r="J13" s="273">
        <v>3312018277.5862069</v>
      </c>
      <c r="K13" s="274"/>
      <c r="L13" s="273">
        <v>0</v>
      </c>
      <c r="M13" s="274"/>
      <c r="N13" s="66">
        <f t="shared" si="1"/>
        <v>3312018277.5862069</v>
      </c>
    </row>
    <row r="14" spans="1:14" ht="17.45" customHeight="1">
      <c r="A14" s="200" t="s">
        <v>193</v>
      </c>
      <c r="B14" s="167"/>
      <c r="C14" s="105"/>
      <c r="D14" s="66">
        <v>0</v>
      </c>
      <c r="E14" s="66"/>
      <c r="F14" s="66">
        <v>0</v>
      </c>
      <c r="G14" s="66"/>
      <c r="H14" s="66">
        <f t="shared" si="0"/>
        <v>0</v>
      </c>
      <c r="I14" s="69"/>
      <c r="J14" s="66">
        <v>3967667780.2500005</v>
      </c>
      <c r="K14" s="66"/>
      <c r="L14" s="66">
        <v>0</v>
      </c>
      <c r="M14" s="66"/>
      <c r="N14" s="66">
        <f t="shared" si="1"/>
        <v>3967667780.2500005</v>
      </c>
    </row>
    <row r="15" spans="1:14" s="105" customFormat="1" ht="17.45" customHeight="1">
      <c r="A15" s="200" t="s">
        <v>194</v>
      </c>
      <c r="B15" s="167"/>
      <c r="D15" s="66">
        <v>0</v>
      </c>
      <c r="E15" s="66"/>
      <c r="F15" s="66">
        <v>0</v>
      </c>
      <c r="G15" s="66"/>
      <c r="H15" s="66">
        <f t="shared" si="0"/>
        <v>0</v>
      </c>
      <c r="I15" s="69"/>
      <c r="J15" s="66">
        <v>11550436336.500002</v>
      </c>
      <c r="K15" s="66"/>
      <c r="L15" s="66">
        <v>0</v>
      </c>
      <c r="M15" s="66"/>
      <c r="N15" s="66">
        <f t="shared" si="1"/>
        <v>11550436336.500002</v>
      </c>
    </row>
    <row r="16" spans="1:14" ht="17.45" customHeight="1">
      <c r="A16" s="200" t="s">
        <v>109</v>
      </c>
      <c r="B16" s="163"/>
      <c r="C16" s="163"/>
      <c r="D16" s="66">
        <v>0</v>
      </c>
      <c r="E16" s="66"/>
      <c r="F16" s="273">
        <v>0</v>
      </c>
      <c r="G16" s="66"/>
      <c r="H16" s="66">
        <f t="shared" si="0"/>
        <v>0</v>
      </c>
      <c r="I16" s="72"/>
      <c r="J16" s="273">
        <v>2858263320.6896553</v>
      </c>
      <c r="K16" s="274"/>
      <c r="L16" s="273">
        <v>0</v>
      </c>
      <c r="M16" s="274"/>
      <c r="N16" s="66">
        <f t="shared" si="1"/>
        <v>2858263320.6896553</v>
      </c>
    </row>
    <row r="17" spans="1:14" s="105" customFormat="1" ht="17.45" customHeight="1">
      <c r="A17" s="200" t="s">
        <v>297</v>
      </c>
      <c r="B17" s="167"/>
      <c r="D17" s="66">
        <v>61648440</v>
      </c>
      <c r="E17" s="66"/>
      <c r="F17" s="66">
        <v>-1162490</v>
      </c>
      <c r="G17" s="66"/>
      <c r="H17" s="66">
        <f t="shared" si="0"/>
        <v>60485950</v>
      </c>
      <c r="I17" s="69"/>
      <c r="J17" s="66">
        <v>61648440</v>
      </c>
      <c r="K17" s="66"/>
      <c r="L17" s="66">
        <v>-1162490</v>
      </c>
      <c r="M17" s="66"/>
      <c r="N17" s="66">
        <f t="shared" si="1"/>
        <v>60485950</v>
      </c>
    </row>
    <row r="18" spans="1:14" s="105" customFormat="1" ht="17.45" customHeight="1">
      <c r="A18" s="200" t="s">
        <v>129</v>
      </c>
      <c r="B18" s="167"/>
      <c r="D18" s="66">
        <v>0</v>
      </c>
      <c r="E18" s="66"/>
      <c r="F18" s="66">
        <v>0</v>
      </c>
      <c r="G18" s="66"/>
      <c r="H18" s="66">
        <f t="shared" si="0"/>
        <v>0</v>
      </c>
      <c r="I18" s="69"/>
      <c r="J18" s="66">
        <v>920809462.924528</v>
      </c>
      <c r="K18" s="66"/>
      <c r="L18" s="66">
        <v>0</v>
      </c>
      <c r="M18" s="66"/>
      <c r="N18" s="66">
        <f t="shared" si="1"/>
        <v>920809462.924528</v>
      </c>
    </row>
    <row r="19" spans="1:14" s="105" customFormat="1" ht="17.45" customHeight="1">
      <c r="A19" s="200" t="s">
        <v>98</v>
      </c>
      <c r="B19" s="167"/>
      <c r="D19" s="66">
        <f>0+5475790152</f>
        <v>5475790152</v>
      </c>
      <c r="E19" s="66"/>
      <c r="F19" s="66">
        <v>0</v>
      </c>
      <c r="G19" s="66"/>
      <c r="H19" s="66">
        <f t="shared" si="0"/>
        <v>5475790152</v>
      </c>
      <c r="I19" s="69"/>
      <c r="J19" s="66">
        <f>49192+163699460+1914655733.5</f>
        <v>2078404385.5</v>
      </c>
      <c r="K19" s="66"/>
      <c r="L19" s="66">
        <v>0</v>
      </c>
      <c r="M19" s="66"/>
      <c r="N19" s="66">
        <f t="shared" si="1"/>
        <v>2078404385.5</v>
      </c>
    </row>
    <row r="20" spans="1:14" s="105" customFormat="1" ht="17.45" customHeight="1">
      <c r="A20" s="200" t="s">
        <v>96</v>
      </c>
      <c r="B20" s="167"/>
      <c r="D20" s="66">
        <v>5675</v>
      </c>
      <c r="E20" s="66"/>
      <c r="F20" s="66">
        <v>0</v>
      </c>
      <c r="G20" s="66"/>
      <c r="H20" s="66">
        <f t="shared" si="0"/>
        <v>5675</v>
      </c>
      <c r="I20" s="69"/>
      <c r="J20" s="66">
        <v>106228</v>
      </c>
      <c r="K20" s="66"/>
      <c r="L20" s="66">
        <v>0</v>
      </c>
      <c r="M20" s="66"/>
      <c r="N20" s="66">
        <f t="shared" si="1"/>
        <v>106228</v>
      </c>
    </row>
    <row r="21" spans="1:14" ht="17.45" customHeight="1">
      <c r="A21" s="200" t="s">
        <v>104</v>
      </c>
      <c r="B21" s="167"/>
      <c r="C21" s="105"/>
      <c r="D21" s="66">
        <v>1422</v>
      </c>
      <c r="E21" s="66"/>
      <c r="F21" s="66">
        <v>0</v>
      </c>
      <c r="G21" s="66"/>
      <c r="H21" s="66">
        <f t="shared" si="0"/>
        <v>1422</v>
      </c>
      <c r="I21" s="69"/>
      <c r="J21" s="66">
        <v>28122</v>
      </c>
      <c r="K21" s="66"/>
      <c r="L21" s="66">
        <v>0</v>
      </c>
      <c r="M21" s="66"/>
      <c r="N21" s="66">
        <f t="shared" si="1"/>
        <v>28122</v>
      </c>
    </row>
    <row r="22" spans="1:14" s="105" customFormat="1" ht="17.45" customHeight="1">
      <c r="A22" s="200" t="s">
        <v>123</v>
      </c>
      <c r="B22" s="167"/>
      <c r="D22" s="66">
        <v>9338</v>
      </c>
      <c r="E22" s="66"/>
      <c r="F22" s="66">
        <v>0</v>
      </c>
      <c r="G22" s="66"/>
      <c r="H22" s="66">
        <f t="shared" si="0"/>
        <v>9338</v>
      </c>
      <c r="I22" s="69"/>
      <c r="J22" s="66">
        <f>199284+10318478748</f>
        <v>10318678032</v>
      </c>
      <c r="K22" s="66"/>
      <c r="L22" s="66">
        <v>0</v>
      </c>
      <c r="M22" s="66"/>
      <c r="N22" s="66">
        <f t="shared" si="1"/>
        <v>10318678032</v>
      </c>
    </row>
    <row r="23" spans="1:14" ht="17.45" customHeight="1">
      <c r="A23" s="200" t="s">
        <v>131</v>
      </c>
      <c r="B23" s="167"/>
      <c r="C23" s="105"/>
      <c r="D23" s="66">
        <v>0</v>
      </c>
      <c r="E23" s="66"/>
      <c r="F23" s="66">
        <v>0</v>
      </c>
      <c r="G23" s="66"/>
      <c r="H23" s="66">
        <f t="shared" si="0"/>
        <v>0</v>
      </c>
      <c r="I23" s="69"/>
      <c r="J23" s="66">
        <v>2904567523.3333335</v>
      </c>
      <c r="K23" s="66"/>
      <c r="L23" s="66">
        <v>0</v>
      </c>
      <c r="M23" s="66"/>
      <c r="N23" s="66">
        <f t="shared" si="1"/>
        <v>2904567523.3333335</v>
      </c>
    </row>
    <row r="24" spans="1:14" s="105" customFormat="1" ht="17.45" customHeight="1">
      <c r="A24" s="200" t="s">
        <v>126</v>
      </c>
      <c r="B24" s="167"/>
      <c r="D24" s="66">
        <v>0</v>
      </c>
      <c r="E24" s="66"/>
      <c r="F24" s="66">
        <v>0</v>
      </c>
      <c r="G24" s="66"/>
      <c r="H24" s="66">
        <f t="shared" si="0"/>
        <v>0</v>
      </c>
      <c r="I24" s="69"/>
      <c r="J24" s="66">
        <v>1208835618.3333333</v>
      </c>
      <c r="K24" s="66"/>
      <c r="L24" s="66">
        <v>0</v>
      </c>
      <c r="M24" s="66"/>
      <c r="N24" s="66">
        <f t="shared" si="1"/>
        <v>1208835618.3333333</v>
      </c>
    </row>
    <row r="25" spans="1:14" s="105" customFormat="1" ht="17.45" customHeight="1">
      <c r="A25" s="200" t="s">
        <v>116</v>
      </c>
      <c r="B25" s="167"/>
      <c r="D25" s="66">
        <v>0</v>
      </c>
      <c r="E25" s="66"/>
      <c r="F25" s="66">
        <v>0</v>
      </c>
      <c r="G25" s="66"/>
      <c r="H25" s="66">
        <f t="shared" si="0"/>
        <v>0</v>
      </c>
      <c r="I25" s="69"/>
      <c r="J25" s="66">
        <v>883561645</v>
      </c>
      <c r="K25" s="66"/>
      <c r="L25" s="66">
        <v>0</v>
      </c>
      <c r="M25" s="66"/>
      <c r="N25" s="66">
        <f t="shared" si="1"/>
        <v>883561645</v>
      </c>
    </row>
    <row r="26" spans="1:14" s="105" customFormat="1" ht="17.45" customHeight="1">
      <c r="A26" s="200" t="s">
        <v>117</v>
      </c>
      <c r="B26" s="167"/>
      <c r="D26" s="66">
        <v>0</v>
      </c>
      <c r="E26" s="66"/>
      <c r="F26" s="66">
        <v>0</v>
      </c>
      <c r="G26" s="66"/>
      <c r="H26" s="66">
        <f t="shared" si="0"/>
        <v>0</v>
      </c>
      <c r="I26" s="69"/>
      <c r="J26" s="66">
        <v>140235401.03773585</v>
      </c>
      <c r="K26" s="66"/>
      <c r="L26" s="66">
        <v>0</v>
      </c>
      <c r="M26" s="66"/>
      <c r="N26" s="66">
        <f t="shared" si="1"/>
        <v>140235401.03773585</v>
      </c>
    </row>
    <row r="27" spans="1:14" s="105" customFormat="1" ht="17.45" customHeight="1">
      <c r="A27" s="200" t="s">
        <v>128</v>
      </c>
      <c r="B27" s="167"/>
      <c r="D27" s="66">
        <v>0</v>
      </c>
      <c r="E27" s="66"/>
      <c r="F27" s="66">
        <v>0</v>
      </c>
      <c r="G27" s="66"/>
      <c r="H27" s="66">
        <f t="shared" si="0"/>
        <v>0</v>
      </c>
      <c r="I27" s="69"/>
      <c r="J27" s="66">
        <v>40068495</v>
      </c>
      <c r="K27" s="66"/>
      <c r="L27" s="66">
        <v>0</v>
      </c>
      <c r="M27" s="66"/>
      <c r="N27" s="66">
        <f t="shared" si="1"/>
        <v>40068495</v>
      </c>
    </row>
    <row r="28" spans="1:14" s="105" customFormat="1" ht="17.45" customHeight="1">
      <c r="A28" s="200" t="s">
        <v>119</v>
      </c>
      <c r="B28" s="167"/>
      <c r="D28" s="66">
        <v>0</v>
      </c>
      <c r="E28" s="66"/>
      <c r="F28" s="66">
        <v>0</v>
      </c>
      <c r="G28" s="66"/>
      <c r="H28" s="66">
        <f t="shared" si="0"/>
        <v>0</v>
      </c>
      <c r="I28" s="69"/>
      <c r="J28" s="66">
        <v>51828902.830188677</v>
      </c>
      <c r="K28" s="66"/>
      <c r="L28" s="66">
        <v>0</v>
      </c>
      <c r="M28" s="66"/>
      <c r="N28" s="66">
        <f t="shared" si="1"/>
        <v>51828902.830188677</v>
      </c>
    </row>
    <row r="29" spans="1:14" s="105" customFormat="1" ht="17.45" customHeight="1">
      <c r="A29" s="200" t="s">
        <v>239</v>
      </c>
      <c r="B29" s="167"/>
      <c r="D29" s="66">
        <v>0</v>
      </c>
      <c r="E29" s="66"/>
      <c r="F29" s="66">
        <v>0</v>
      </c>
      <c r="G29" s="66"/>
      <c r="H29" s="66">
        <f t="shared" si="0"/>
        <v>0</v>
      </c>
      <c r="I29" s="69"/>
      <c r="J29" s="66">
        <v>3694470400.5000005</v>
      </c>
      <c r="K29" s="66"/>
      <c r="L29" s="66">
        <v>0</v>
      </c>
      <c r="M29" s="66"/>
      <c r="N29" s="66">
        <f t="shared" si="1"/>
        <v>3694470400.5000005</v>
      </c>
    </row>
    <row r="30" spans="1:14" s="105" customFormat="1" ht="17.45" customHeight="1">
      <c r="A30" s="200" t="s">
        <v>181</v>
      </c>
      <c r="B30" s="167"/>
      <c r="D30" s="66">
        <v>0</v>
      </c>
      <c r="E30" s="66"/>
      <c r="F30" s="66">
        <v>0</v>
      </c>
      <c r="G30" s="66"/>
      <c r="H30" s="66">
        <f t="shared" si="0"/>
        <v>0</v>
      </c>
      <c r="I30" s="69"/>
      <c r="J30" s="66">
        <v>24265738358.684216</v>
      </c>
      <c r="K30" s="66"/>
      <c r="L30" s="66">
        <v>0</v>
      </c>
      <c r="M30" s="66"/>
      <c r="N30" s="66">
        <f t="shared" si="1"/>
        <v>24265738358.684216</v>
      </c>
    </row>
    <row r="31" spans="1:14" s="105" customFormat="1" ht="17.45" customHeight="1">
      <c r="A31" s="200" t="s">
        <v>286</v>
      </c>
      <c r="B31" s="167"/>
      <c r="D31" s="66">
        <v>4601034153</v>
      </c>
      <c r="E31" s="66"/>
      <c r="F31" s="66">
        <v>0</v>
      </c>
      <c r="G31" s="66"/>
      <c r="H31" s="66">
        <f t="shared" si="0"/>
        <v>4601034153</v>
      </c>
      <c r="I31" s="69"/>
      <c r="J31" s="66">
        <v>4683652307.25</v>
      </c>
      <c r="K31" s="66"/>
      <c r="L31" s="66">
        <v>-14137258</v>
      </c>
      <c r="M31" s="66"/>
      <c r="N31" s="66">
        <f t="shared" si="1"/>
        <v>4669515049.25</v>
      </c>
    </row>
    <row r="32" spans="1:14" s="105" customFormat="1" ht="17.45" customHeight="1">
      <c r="A32" s="200" t="s">
        <v>118</v>
      </c>
      <c r="B32" s="167"/>
      <c r="D32" s="66">
        <v>0</v>
      </c>
      <c r="E32" s="66"/>
      <c r="F32" s="66">
        <v>0</v>
      </c>
      <c r="G32" s="66"/>
      <c r="H32" s="66">
        <f t="shared" si="0"/>
        <v>0</v>
      </c>
      <c r="I32" s="69"/>
      <c r="J32" s="66">
        <v>80136988.301886797</v>
      </c>
      <c r="K32" s="66"/>
      <c r="L32" s="66">
        <v>0</v>
      </c>
      <c r="M32" s="66"/>
      <c r="N32" s="66">
        <f t="shared" si="1"/>
        <v>80136988.301886797</v>
      </c>
    </row>
    <row r="33" spans="1:14" s="105" customFormat="1" ht="17.45" customHeight="1">
      <c r="A33" s="200" t="s">
        <v>137</v>
      </c>
      <c r="B33" s="167"/>
      <c r="D33" s="66">
        <v>5479</v>
      </c>
      <c r="E33" s="66"/>
      <c r="F33" s="66">
        <v>0</v>
      </c>
      <c r="G33" s="66"/>
      <c r="H33" s="66">
        <f t="shared" si="0"/>
        <v>5479</v>
      </c>
      <c r="I33" s="69"/>
      <c r="J33" s="66">
        <v>297015542</v>
      </c>
      <c r="K33" s="66"/>
      <c r="L33" s="66">
        <v>0</v>
      </c>
      <c r="M33" s="66"/>
      <c r="N33" s="66">
        <f t="shared" si="1"/>
        <v>297015542</v>
      </c>
    </row>
    <row r="34" spans="1:14" s="105" customFormat="1" ht="17.45" customHeight="1">
      <c r="A34" s="200" t="s">
        <v>186</v>
      </c>
      <c r="B34" s="167"/>
      <c r="D34" s="66">
        <v>366515753</v>
      </c>
      <c r="E34" s="66"/>
      <c r="F34" s="66">
        <v>0</v>
      </c>
      <c r="G34" s="66"/>
      <c r="H34" s="66">
        <f t="shared" si="0"/>
        <v>366515753</v>
      </c>
      <c r="I34" s="69"/>
      <c r="J34" s="66">
        <v>7124428669</v>
      </c>
      <c r="K34" s="66"/>
      <c r="L34" s="66">
        <v>0</v>
      </c>
      <c r="M34" s="66"/>
      <c r="N34" s="66">
        <f t="shared" si="1"/>
        <v>7124428669</v>
      </c>
    </row>
    <row r="35" spans="1:14" s="105" customFormat="1" ht="17.45" customHeight="1">
      <c r="A35" s="200" t="s">
        <v>180</v>
      </c>
      <c r="B35" s="167"/>
      <c r="D35" s="66">
        <v>0</v>
      </c>
      <c r="E35" s="66"/>
      <c r="F35" s="66">
        <v>0</v>
      </c>
      <c r="G35" s="66"/>
      <c r="H35" s="66">
        <f t="shared" si="0"/>
        <v>0</v>
      </c>
      <c r="I35" s="69"/>
      <c r="J35" s="66">
        <v>825800240</v>
      </c>
      <c r="K35" s="66"/>
      <c r="L35" s="66">
        <v>0</v>
      </c>
      <c r="M35" s="66"/>
      <c r="N35" s="66">
        <f t="shared" si="1"/>
        <v>825800240</v>
      </c>
    </row>
    <row r="36" spans="1:14" s="105" customFormat="1" ht="17.45" customHeight="1">
      <c r="A36" s="200" t="s">
        <v>261</v>
      </c>
      <c r="B36" s="167"/>
      <c r="D36" s="66">
        <v>64106507</v>
      </c>
      <c r="E36" s="66"/>
      <c r="F36" s="66">
        <v>0</v>
      </c>
      <c r="G36" s="66"/>
      <c r="H36" s="66">
        <f t="shared" si="0"/>
        <v>64106507</v>
      </c>
      <c r="I36" s="69"/>
      <c r="J36" s="66">
        <v>243604739</v>
      </c>
      <c r="K36" s="66"/>
      <c r="L36" s="66">
        <v>-275436</v>
      </c>
      <c r="M36" s="66"/>
      <c r="N36" s="66">
        <f t="shared" si="1"/>
        <v>243329303</v>
      </c>
    </row>
    <row r="37" spans="1:14" s="105" customFormat="1" ht="17.45" customHeight="1">
      <c r="A37" s="200" t="s">
        <v>262</v>
      </c>
      <c r="B37" s="167"/>
      <c r="D37" s="66">
        <v>0</v>
      </c>
      <c r="E37" s="66"/>
      <c r="F37" s="66">
        <v>0</v>
      </c>
      <c r="G37" s="66"/>
      <c r="H37" s="66">
        <f t="shared" si="0"/>
        <v>0</v>
      </c>
      <c r="I37" s="69"/>
      <c r="J37" s="66">
        <v>31375480</v>
      </c>
      <c r="K37" s="66"/>
      <c r="L37" s="66">
        <v>0</v>
      </c>
      <c r="M37" s="66"/>
      <c r="N37" s="66">
        <f t="shared" si="1"/>
        <v>31375480</v>
      </c>
    </row>
    <row r="38" spans="1:14" s="105" customFormat="1" ht="17.45" customHeight="1">
      <c r="A38" s="200" t="s">
        <v>263</v>
      </c>
      <c r="B38" s="167"/>
      <c r="D38" s="66">
        <v>75405822</v>
      </c>
      <c r="E38" s="66"/>
      <c r="F38" s="66">
        <v>0</v>
      </c>
      <c r="G38" s="66"/>
      <c r="H38" s="66">
        <f t="shared" si="0"/>
        <v>75405822</v>
      </c>
      <c r="I38" s="69"/>
      <c r="J38" s="66">
        <v>286542112</v>
      </c>
      <c r="K38" s="66"/>
      <c r="L38" s="66">
        <v>-323983</v>
      </c>
      <c r="M38" s="66"/>
      <c r="N38" s="66">
        <f t="shared" si="1"/>
        <v>286218129</v>
      </c>
    </row>
    <row r="39" spans="1:14" s="105" customFormat="1" ht="17.45" customHeight="1">
      <c r="A39" s="200" t="s">
        <v>264</v>
      </c>
      <c r="B39" s="167"/>
      <c r="D39" s="66">
        <v>397935616</v>
      </c>
      <c r="E39" s="66"/>
      <c r="F39" s="66">
        <v>0</v>
      </c>
      <c r="G39" s="66"/>
      <c r="H39" s="66">
        <f t="shared" si="0"/>
        <v>397935616</v>
      </c>
      <c r="I39" s="69"/>
      <c r="J39" s="140">
        <v>1535202752</v>
      </c>
      <c r="K39" s="66"/>
      <c r="L39" s="66">
        <v>-1709742</v>
      </c>
      <c r="M39" s="66"/>
      <c r="N39" s="66">
        <f t="shared" si="1"/>
        <v>1533493010</v>
      </c>
    </row>
    <row r="40" spans="1:14" s="105" customFormat="1" ht="17.45" customHeight="1">
      <c r="A40" s="200" t="s">
        <v>265</v>
      </c>
      <c r="B40" s="167"/>
      <c r="D40" s="66">
        <v>755759591</v>
      </c>
      <c r="E40" s="66"/>
      <c r="F40" s="66">
        <v>0</v>
      </c>
      <c r="G40" s="66"/>
      <c r="H40" s="66">
        <f t="shared" si="0"/>
        <v>755759591</v>
      </c>
      <c r="I40" s="69"/>
      <c r="J40" s="140">
        <v>2980539854</v>
      </c>
      <c r="K40" s="66"/>
      <c r="L40" s="66">
        <v>-3247143</v>
      </c>
      <c r="M40" s="66"/>
      <c r="N40" s="66">
        <f t="shared" si="1"/>
        <v>2977292711</v>
      </c>
    </row>
    <row r="41" spans="1:14" s="105" customFormat="1" ht="17.45" customHeight="1">
      <c r="A41" s="200" t="s">
        <v>195</v>
      </c>
      <c r="B41" s="167"/>
      <c r="D41" s="66">
        <v>0</v>
      </c>
      <c r="E41" s="66"/>
      <c r="F41" s="66">
        <v>0</v>
      </c>
      <c r="G41" s="66"/>
      <c r="H41" s="66">
        <f t="shared" si="0"/>
        <v>0</v>
      </c>
      <c r="I41" s="69"/>
      <c r="J41" s="140">
        <v>144218219</v>
      </c>
      <c r="K41" s="66"/>
      <c r="L41" s="66">
        <v>0</v>
      </c>
      <c r="M41" s="66"/>
      <c r="N41" s="66">
        <f t="shared" si="1"/>
        <v>144218219</v>
      </c>
    </row>
    <row r="42" spans="1:14" s="105" customFormat="1" ht="17.45" customHeight="1">
      <c r="A42" s="200" t="s">
        <v>196</v>
      </c>
      <c r="B42" s="167"/>
      <c r="D42" s="66">
        <v>0</v>
      </c>
      <c r="E42" s="66"/>
      <c r="F42" s="66">
        <v>0</v>
      </c>
      <c r="G42" s="66"/>
      <c r="H42" s="66">
        <f t="shared" si="0"/>
        <v>0</v>
      </c>
      <c r="I42" s="69"/>
      <c r="J42" s="140">
        <v>118442467</v>
      </c>
      <c r="K42" s="66"/>
      <c r="L42" s="66">
        <v>0</v>
      </c>
      <c r="M42" s="66"/>
      <c r="N42" s="66">
        <f t="shared" si="1"/>
        <v>118442467</v>
      </c>
    </row>
    <row r="43" spans="1:14" s="105" customFormat="1" ht="17.45" customHeight="1">
      <c r="A43" s="200" t="s">
        <v>197</v>
      </c>
      <c r="B43" s="167"/>
      <c r="D43" s="66">
        <v>0</v>
      </c>
      <c r="E43" s="66"/>
      <c r="F43" s="66">
        <v>0</v>
      </c>
      <c r="G43" s="66"/>
      <c r="H43" s="66">
        <f t="shared" si="0"/>
        <v>0</v>
      </c>
      <c r="I43" s="69"/>
      <c r="J43" s="66">
        <v>546622397</v>
      </c>
      <c r="K43" s="66"/>
      <c r="L43" s="66">
        <v>0</v>
      </c>
      <c r="M43" s="66"/>
      <c r="N43" s="66">
        <f t="shared" si="1"/>
        <v>546622397</v>
      </c>
    </row>
    <row r="44" spans="1:14" s="105" customFormat="1" ht="17.45" customHeight="1">
      <c r="A44" s="200" t="s">
        <v>198</v>
      </c>
      <c r="B44" s="167"/>
      <c r="D44" s="66">
        <v>0</v>
      </c>
      <c r="E44" s="66"/>
      <c r="F44" s="66">
        <v>0</v>
      </c>
      <c r="G44" s="66"/>
      <c r="H44" s="66">
        <f t="shared" si="0"/>
        <v>0</v>
      </c>
      <c r="I44" s="69"/>
      <c r="J44" s="140">
        <v>307566986.00000006</v>
      </c>
      <c r="K44" s="66"/>
      <c r="L44" s="66">
        <v>0</v>
      </c>
      <c r="M44" s="66"/>
      <c r="N44" s="66">
        <f t="shared" si="1"/>
        <v>307566986.00000006</v>
      </c>
    </row>
    <row r="45" spans="1:14" s="105" customFormat="1" ht="17.45" customHeight="1">
      <c r="A45" s="200" t="s">
        <v>199</v>
      </c>
      <c r="B45" s="167"/>
      <c r="D45" s="66">
        <v>14581849</v>
      </c>
      <c r="E45" s="66"/>
      <c r="F45" s="66">
        <v>0</v>
      </c>
      <c r="G45" s="66"/>
      <c r="H45" s="66">
        <f t="shared" si="0"/>
        <v>14581849</v>
      </c>
      <c r="I45" s="69"/>
      <c r="J45" s="66">
        <v>138346650</v>
      </c>
      <c r="K45" s="66"/>
      <c r="L45" s="66">
        <v>0</v>
      </c>
      <c r="M45" s="66"/>
      <c r="N45" s="66">
        <f t="shared" si="1"/>
        <v>138346650</v>
      </c>
    </row>
    <row r="46" spans="1:14" s="105" customFormat="1" ht="17.45" customHeight="1">
      <c r="A46" s="200" t="s">
        <v>200</v>
      </c>
      <c r="B46" s="167"/>
      <c r="D46" s="66">
        <v>0</v>
      </c>
      <c r="E46" s="66"/>
      <c r="F46" s="66">
        <v>0</v>
      </c>
      <c r="G46" s="66"/>
      <c r="H46" s="66">
        <f t="shared" si="0"/>
        <v>0</v>
      </c>
      <c r="I46" s="69"/>
      <c r="J46" s="66">
        <v>1386398219.0000002</v>
      </c>
      <c r="K46" s="66"/>
      <c r="L46" s="66">
        <v>0</v>
      </c>
      <c r="M46" s="66"/>
      <c r="N46" s="66">
        <f t="shared" si="1"/>
        <v>1386398219.0000002</v>
      </c>
    </row>
    <row r="47" spans="1:14" s="105" customFormat="1" ht="17.45" customHeight="1">
      <c r="A47" s="200" t="s">
        <v>201</v>
      </c>
      <c r="B47" s="167"/>
      <c r="D47" s="66">
        <v>0</v>
      </c>
      <c r="E47" s="66"/>
      <c r="F47" s="66">
        <v>0</v>
      </c>
      <c r="G47" s="66"/>
      <c r="H47" s="66">
        <f t="shared" si="0"/>
        <v>0</v>
      </c>
      <c r="I47" s="69"/>
      <c r="J47" s="66">
        <v>356377808</v>
      </c>
      <c r="K47" s="66"/>
      <c r="L47" s="66">
        <v>0</v>
      </c>
      <c r="M47" s="66"/>
      <c r="N47" s="66">
        <f t="shared" si="1"/>
        <v>356377808</v>
      </c>
    </row>
    <row r="48" spans="1:14" s="105" customFormat="1" ht="17.45" customHeight="1">
      <c r="A48" s="200" t="s">
        <v>202</v>
      </c>
      <c r="B48" s="167"/>
      <c r="D48" s="66">
        <v>0</v>
      </c>
      <c r="E48" s="66"/>
      <c r="F48" s="66">
        <v>0</v>
      </c>
      <c r="G48" s="66"/>
      <c r="H48" s="66">
        <f t="shared" si="0"/>
        <v>0</v>
      </c>
      <c r="I48" s="69"/>
      <c r="J48" s="66">
        <v>205648459</v>
      </c>
      <c r="K48" s="66"/>
      <c r="L48" s="66">
        <v>0</v>
      </c>
      <c r="M48" s="66"/>
      <c r="N48" s="66">
        <f t="shared" si="1"/>
        <v>205648459</v>
      </c>
    </row>
    <row r="49" spans="1:14" ht="17.45" customHeight="1">
      <c r="A49" s="200" t="s">
        <v>203</v>
      </c>
      <c r="B49" s="167"/>
      <c r="C49" s="105"/>
      <c r="D49" s="66">
        <v>0</v>
      </c>
      <c r="E49" s="66"/>
      <c r="F49" s="66">
        <v>0</v>
      </c>
      <c r="G49" s="66"/>
      <c r="H49" s="66">
        <f t="shared" si="0"/>
        <v>0</v>
      </c>
      <c r="I49" s="69"/>
      <c r="J49" s="66">
        <v>4068493151</v>
      </c>
      <c r="K49" s="66"/>
      <c r="L49" s="66">
        <v>0</v>
      </c>
      <c r="M49" s="66"/>
      <c r="N49" s="66">
        <f t="shared" si="1"/>
        <v>4068493151</v>
      </c>
    </row>
    <row r="50" spans="1:14" s="105" customFormat="1" ht="17.45" customHeight="1">
      <c r="A50" s="200" t="s">
        <v>204</v>
      </c>
      <c r="B50" s="167"/>
      <c r="D50" s="66">
        <v>0</v>
      </c>
      <c r="E50" s="66"/>
      <c r="F50" s="66">
        <v>0</v>
      </c>
      <c r="G50" s="66"/>
      <c r="H50" s="66">
        <f t="shared" si="0"/>
        <v>0</v>
      </c>
      <c r="I50" s="69"/>
      <c r="J50" s="66">
        <v>402041096.00000006</v>
      </c>
      <c r="K50" s="66"/>
      <c r="L50" s="66">
        <v>0</v>
      </c>
      <c r="M50" s="66"/>
      <c r="N50" s="66">
        <f t="shared" si="1"/>
        <v>402041096.00000006</v>
      </c>
    </row>
    <row r="51" spans="1:14" s="105" customFormat="1" ht="17.45" customHeight="1">
      <c r="A51" s="200" t="s">
        <v>205</v>
      </c>
      <c r="B51" s="167"/>
      <c r="D51" s="66">
        <v>0</v>
      </c>
      <c r="E51" s="66"/>
      <c r="F51" s="66">
        <v>0</v>
      </c>
      <c r="G51" s="66"/>
      <c r="H51" s="66">
        <f t="shared" si="0"/>
        <v>0</v>
      </c>
      <c r="I51" s="69"/>
      <c r="J51" s="140">
        <v>927431507</v>
      </c>
      <c r="K51" s="66"/>
      <c r="L51" s="66">
        <v>0</v>
      </c>
      <c r="M51" s="66"/>
      <c r="N51" s="66">
        <f t="shared" si="1"/>
        <v>927431507</v>
      </c>
    </row>
    <row r="52" spans="1:14" s="105" customFormat="1" ht="17.45" customHeight="1">
      <c r="A52" s="200" t="s">
        <v>206</v>
      </c>
      <c r="B52" s="167"/>
      <c r="D52" s="66">
        <v>0</v>
      </c>
      <c r="E52" s="66"/>
      <c r="F52" s="66">
        <v>0</v>
      </c>
      <c r="G52" s="66"/>
      <c r="H52" s="66">
        <f t="shared" si="0"/>
        <v>0</v>
      </c>
      <c r="I52" s="69"/>
      <c r="J52" s="140">
        <v>2331647261</v>
      </c>
      <c r="K52" s="66"/>
      <c r="L52" s="66">
        <v>0</v>
      </c>
      <c r="M52" s="66"/>
      <c r="N52" s="66">
        <f t="shared" si="1"/>
        <v>2331647261</v>
      </c>
    </row>
    <row r="53" spans="1:14" s="105" customFormat="1" ht="17.45" customHeight="1">
      <c r="A53" s="200" t="s">
        <v>185</v>
      </c>
      <c r="B53" s="167"/>
      <c r="D53" s="66">
        <v>0</v>
      </c>
      <c r="E53" s="66"/>
      <c r="F53" s="66">
        <v>0</v>
      </c>
      <c r="G53" s="66"/>
      <c r="H53" s="66">
        <f t="shared" si="0"/>
        <v>0</v>
      </c>
      <c r="I53" s="69">
        <f>E53+G53</f>
        <v>0</v>
      </c>
      <c r="J53" s="140">
        <v>1809329793</v>
      </c>
      <c r="K53" s="66"/>
      <c r="L53" s="66">
        <v>0</v>
      </c>
      <c r="M53" s="66"/>
      <c r="N53" s="66">
        <f t="shared" si="1"/>
        <v>1809329793</v>
      </c>
    </row>
    <row r="54" spans="1:14" s="105" customFormat="1" ht="17.45" customHeight="1">
      <c r="A54" s="200" t="s">
        <v>179</v>
      </c>
      <c r="B54" s="167"/>
      <c r="D54" s="66">
        <v>0</v>
      </c>
      <c r="E54" s="66"/>
      <c r="F54" s="66">
        <v>0</v>
      </c>
      <c r="G54" s="66"/>
      <c r="H54" s="66">
        <f t="shared" si="0"/>
        <v>0</v>
      </c>
      <c r="I54" s="69"/>
      <c r="J54" s="66">
        <v>2831461643.0000005</v>
      </c>
      <c r="K54" s="66"/>
      <c r="L54" s="66">
        <v>0</v>
      </c>
      <c r="M54" s="66"/>
      <c r="N54" s="66">
        <f t="shared" si="1"/>
        <v>2831461643.0000005</v>
      </c>
    </row>
    <row r="55" spans="1:14" s="105" customFormat="1" ht="17.45" customHeight="1">
      <c r="A55" s="200" t="s">
        <v>178</v>
      </c>
      <c r="B55" s="167"/>
      <c r="D55" s="66">
        <f>1276628426</f>
        <v>1276628426</v>
      </c>
      <c r="E55" s="66"/>
      <c r="F55" s="66">
        <v>0</v>
      </c>
      <c r="G55" s="66"/>
      <c r="H55" s="66">
        <f t="shared" si="0"/>
        <v>1276628426</v>
      </c>
      <c r="I55" s="69"/>
      <c r="J55" s="66">
        <v>14694537642</v>
      </c>
      <c r="K55" s="66"/>
      <c r="L55" s="66">
        <v>0</v>
      </c>
      <c r="M55" s="66"/>
      <c r="N55" s="66">
        <f t="shared" si="1"/>
        <v>14694537642</v>
      </c>
    </row>
    <row r="56" spans="1:14" s="105" customFormat="1" ht="17.45" customHeight="1">
      <c r="A56" s="200" t="s">
        <v>177</v>
      </c>
      <c r="B56" s="167"/>
      <c r="D56" s="66">
        <v>73020205</v>
      </c>
      <c r="E56" s="66"/>
      <c r="F56" s="66">
        <v>0</v>
      </c>
      <c r="G56" s="66"/>
      <c r="H56" s="66">
        <f t="shared" si="0"/>
        <v>73020205</v>
      </c>
      <c r="I56" s="69"/>
      <c r="J56" s="66">
        <v>1837483769</v>
      </c>
      <c r="K56" s="66"/>
      <c r="L56" s="66">
        <v>0</v>
      </c>
      <c r="M56" s="66"/>
      <c r="N56" s="66">
        <f t="shared" si="1"/>
        <v>1837483769</v>
      </c>
    </row>
    <row r="57" spans="1:14" s="105" customFormat="1" ht="17.45" customHeight="1">
      <c r="A57" s="200" t="s">
        <v>166</v>
      </c>
      <c r="B57" s="167"/>
      <c r="D57" s="66">
        <v>0</v>
      </c>
      <c r="E57" s="66"/>
      <c r="F57" s="66">
        <v>0</v>
      </c>
      <c r="G57" s="66"/>
      <c r="H57" s="66">
        <f t="shared" si="0"/>
        <v>0</v>
      </c>
      <c r="I57" s="69"/>
      <c r="J57" s="140">
        <v>530988904</v>
      </c>
      <c r="K57" s="66"/>
      <c r="L57" s="66">
        <v>0</v>
      </c>
      <c r="M57" s="66"/>
      <c r="N57" s="66">
        <f t="shared" si="1"/>
        <v>530988904</v>
      </c>
    </row>
    <row r="58" spans="1:14" s="105" customFormat="1" ht="17.45" customHeight="1">
      <c r="A58" s="200" t="s">
        <v>170</v>
      </c>
      <c r="B58" s="167"/>
      <c r="D58" s="66">
        <v>38373288</v>
      </c>
      <c r="E58" s="66"/>
      <c r="F58" s="66">
        <v>0</v>
      </c>
      <c r="G58" s="66"/>
      <c r="H58" s="66">
        <f t="shared" si="0"/>
        <v>38373288</v>
      </c>
      <c r="I58" s="69"/>
      <c r="J58" s="66">
        <v>415710628</v>
      </c>
      <c r="K58" s="66"/>
      <c r="L58" s="66">
        <v>0</v>
      </c>
      <c r="M58" s="66"/>
      <c r="N58" s="66">
        <f t="shared" si="1"/>
        <v>415710628</v>
      </c>
    </row>
    <row r="59" spans="1:14" ht="17.45" customHeight="1">
      <c r="A59" s="200" t="s">
        <v>174</v>
      </c>
      <c r="B59" s="167"/>
      <c r="C59" s="105"/>
      <c r="D59" s="66">
        <v>0</v>
      </c>
      <c r="E59" s="66"/>
      <c r="F59" s="66">
        <v>0</v>
      </c>
      <c r="G59" s="66"/>
      <c r="H59" s="66">
        <f t="shared" si="0"/>
        <v>0</v>
      </c>
      <c r="I59" s="69"/>
      <c r="J59" s="66">
        <v>292561643</v>
      </c>
      <c r="K59" s="66"/>
      <c r="L59" s="66">
        <v>0</v>
      </c>
      <c r="M59" s="66"/>
      <c r="N59" s="66">
        <f t="shared" si="1"/>
        <v>292561643</v>
      </c>
    </row>
    <row r="60" spans="1:14" s="105" customFormat="1" ht="17.45" customHeight="1">
      <c r="A60" s="200" t="s">
        <v>159</v>
      </c>
      <c r="B60" s="167"/>
      <c r="D60" s="66">
        <v>0</v>
      </c>
      <c r="E60" s="66"/>
      <c r="F60" s="66">
        <v>0</v>
      </c>
      <c r="G60" s="66"/>
      <c r="H60" s="66">
        <f t="shared" si="0"/>
        <v>0</v>
      </c>
      <c r="I60" s="69"/>
      <c r="J60" s="66">
        <v>12011301370</v>
      </c>
      <c r="K60" s="66"/>
      <c r="L60" s="66">
        <v>0</v>
      </c>
      <c r="M60" s="66"/>
      <c r="N60" s="66">
        <f t="shared" si="1"/>
        <v>12011301370</v>
      </c>
    </row>
    <row r="61" spans="1:14" s="105" customFormat="1" ht="17.45" customHeight="1">
      <c r="A61" s="200" t="s">
        <v>168</v>
      </c>
      <c r="B61" s="167"/>
      <c r="D61" s="66">
        <v>0</v>
      </c>
      <c r="E61" s="66"/>
      <c r="F61" s="66">
        <v>0</v>
      </c>
      <c r="G61" s="66"/>
      <c r="H61" s="66">
        <f t="shared" si="0"/>
        <v>0</v>
      </c>
      <c r="I61" s="69"/>
      <c r="J61" s="66">
        <v>33232806</v>
      </c>
      <c r="K61" s="66"/>
      <c r="L61" s="66">
        <v>0</v>
      </c>
      <c r="M61" s="66"/>
      <c r="N61" s="66">
        <f t="shared" si="1"/>
        <v>33232806</v>
      </c>
    </row>
    <row r="62" spans="1:14" s="105" customFormat="1" ht="17.45" customHeight="1">
      <c r="A62" s="200" t="s">
        <v>173</v>
      </c>
      <c r="B62" s="167"/>
      <c r="D62" s="66">
        <v>8146231</v>
      </c>
      <c r="E62" s="66"/>
      <c r="F62" s="66">
        <v>0</v>
      </c>
      <c r="G62" s="66"/>
      <c r="H62" s="66">
        <f t="shared" si="0"/>
        <v>8146231</v>
      </c>
      <c r="I62" s="69"/>
      <c r="J62" s="66">
        <v>399669346.00000006</v>
      </c>
      <c r="K62" s="66"/>
      <c r="L62" s="66">
        <v>0</v>
      </c>
      <c r="M62" s="66"/>
      <c r="N62" s="66">
        <f t="shared" si="1"/>
        <v>399669346.00000006</v>
      </c>
    </row>
    <row r="63" spans="1:14" s="105" customFormat="1" ht="17.45" customHeight="1">
      <c r="A63" s="200" t="s">
        <v>160</v>
      </c>
      <c r="B63" s="167"/>
      <c r="D63" s="66">
        <v>0</v>
      </c>
      <c r="E63" s="66"/>
      <c r="F63" s="66">
        <v>0</v>
      </c>
      <c r="G63" s="66"/>
      <c r="H63" s="66">
        <f t="shared" si="0"/>
        <v>0</v>
      </c>
      <c r="I63" s="69"/>
      <c r="J63" s="66">
        <v>696729452.00000012</v>
      </c>
      <c r="K63" s="66"/>
      <c r="L63" s="66">
        <v>0</v>
      </c>
      <c r="M63" s="66"/>
      <c r="N63" s="66">
        <f t="shared" si="1"/>
        <v>696729452.00000012</v>
      </c>
    </row>
    <row r="64" spans="1:14" s="105" customFormat="1" ht="17.45" customHeight="1">
      <c r="A64" s="200" t="s">
        <v>161</v>
      </c>
      <c r="B64" s="167"/>
      <c r="D64" s="66">
        <v>0</v>
      </c>
      <c r="E64" s="66"/>
      <c r="F64" s="66">
        <v>0</v>
      </c>
      <c r="G64" s="66"/>
      <c r="H64" s="66">
        <f t="shared" si="0"/>
        <v>0</v>
      </c>
      <c r="I64" s="69"/>
      <c r="J64" s="66">
        <v>22654110</v>
      </c>
      <c r="K64" s="66"/>
      <c r="L64" s="66">
        <v>0</v>
      </c>
      <c r="M64" s="66"/>
      <c r="N64" s="66">
        <f t="shared" si="1"/>
        <v>22654110</v>
      </c>
    </row>
    <row r="65" spans="1:14" s="105" customFormat="1" ht="17.45" customHeight="1">
      <c r="A65" s="200" t="s">
        <v>163</v>
      </c>
      <c r="B65" s="167"/>
      <c r="D65" s="66">
        <v>32057880</v>
      </c>
      <c r="E65" s="66"/>
      <c r="F65" s="66">
        <v>0</v>
      </c>
      <c r="G65" s="66"/>
      <c r="H65" s="66">
        <f t="shared" si="0"/>
        <v>32057880</v>
      </c>
      <c r="I65" s="69"/>
      <c r="J65" s="66">
        <v>399666271.00000006</v>
      </c>
      <c r="K65" s="66"/>
      <c r="L65" s="66">
        <v>0</v>
      </c>
      <c r="M65" s="66"/>
      <c r="N65" s="66">
        <f t="shared" si="1"/>
        <v>399666271.00000006</v>
      </c>
    </row>
    <row r="66" spans="1:14" s="105" customFormat="1" ht="17.45" customHeight="1">
      <c r="A66" s="200" t="s">
        <v>164</v>
      </c>
      <c r="B66" s="167"/>
      <c r="D66" s="66">
        <v>0</v>
      </c>
      <c r="E66" s="66"/>
      <c r="F66" s="66">
        <v>0</v>
      </c>
      <c r="G66" s="66"/>
      <c r="H66" s="66">
        <f t="shared" si="0"/>
        <v>0</v>
      </c>
      <c r="I66" s="69"/>
      <c r="J66" s="140">
        <v>308958904</v>
      </c>
      <c r="K66" s="66"/>
      <c r="L66" s="66">
        <v>0</v>
      </c>
      <c r="M66" s="66"/>
      <c r="N66" s="66">
        <f t="shared" si="1"/>
        <v>308958904</v>
      </c>
    </row>
    <row r="67" spans="1:14" s="105" customFormat="1" ht="17.45" customHeight="1">
      <c r="A67" s="200" t="s">
        <v>165</v>
      </c>
      <c r="B67" s="167"/>
      <c r="D67" s="66">
        <v>0</v>
      </c>
      <c r="E67" s="66"/>
      <c r="F67" s="66">
        <v>0</v>
      </c>
      <c r="G67" s="66"/>
      <c r="H67" s="66">
        <f t="shared" si="0"/>
        <v>0</v>
      </c>
      <c r="I67" s="69"/>
      <c r="J67" s="66">
        <v>2221234517</v>
      </c>
      <c r="K67" s="66"/>
      <c r="L67" s="66">
        <v>0</v>
      </c>
      <c r="M67" s="66"/>
      <c r="N67" s="66">
        <f t="shared" si="1"/>
        <v>2221234517</v>
      </c>
    </row>
    <row r="68" spans="1:14" s="105" customFormat="1" ht="17.45" customHeight="1">
      <c r="A68" s="200" t="s">
        <v>167</v>
      </c>
      <c r="B68" s="167"/>
      <c r="D68" s="66">
        <v>0</v>
      </c>
      <c r="E68" s="66"/>
      <c r="F68" s="66">
        <v>0</v>
      </c>
      <c r="G68" s="66"/>
      <c r="H68" s="66">
        <f t="shared" si="0"/>
        <v>0</v>
      </c>
      <c r="I68" s="69"/>
      <c r="J68" s="140">
        <v>1144599041</v>
      </c>
      <c r="K68" s="66"/>
      <c r="L68" s="66">
        <v>0</v>
      </c>
      <c r="M68" s="66"/>
      <c r="N68" s="66">
        <f t="shared" si="1"/>
        <v>1144599041</v>
      </c>
    </row>
    <row r="69" spans="1:14" s="105" customFormat="1" ht="17.45" customHeight="1">
      <c r="A69" s="200" t="s">
        <v>172</v>
      </c>
      <c r="B69" s="167"/>
      <c r="D69" s="66">
        <v>0</v>
      </c>
      <c r="E69" s="66"/>
      <c r="F69" s="66">
        <v>0</v>
      </c>
      <c r="G69" s="66"/>
      <c r="H69" s="66">
        <f t="shared" si="0"/>
        <v>0</v>
      </c>
      <c r="I69" s="69"/>
      <c r="J69" s="66">
        <v>51047260</v>
      </c>
      <c r="K69" s="66"/>
      <c r="L69" s="66">
        <v>0</v>
      </c>
      <c r="M69" s="66"/>
      <c r="N69" s="66">
        <f t="shared" si="1"/>
        <v>51047260</v>
      </c>
    </row>
    <row r="70" spans="1:14" s="105" customFormat="1" ht="17.45" customHeight="1">
      <c r="A70" s="200" t="s">
        <v>171</v>
      </c>
      <c r="B70" s="167"/>
      <c r="D70" s="66">
        <v>0</v>
      </c>
      <c r="E70" s="66"/>
      <c r="F70" s="66">
        <v>0</v>
      </c>
      <c r="G70" s="66"/>
      <c r="H70" s="66">
        <f t="shared" si="0"/>
        <v>0</v>
      </c>
      <c r="I70" s="69"/>
      <c r="J70" s="66">
        <v>1980376028</v>
      </c>
      <c r="K70" s="66"/>
      <c r="L70" s="66">
        <v>0</v>
      </c>
      <c r="M70" s="66"/>
      <c r="N70" s="66">
        <f t="shared" si="1"/>
        <v>1980376028</v>
      </c>
    </row>
    <row r="71" spans="1:14" s="105" customFormat="1" ht="17.45" customHeight="1">
      <c r="A71" s="200" t="s">
        <v>144</v>
      </c>
      <c r="B71" s="167"/>
      <c r="D71" s="66">
        <v>0</v>
      </c>
      <c r="E71" s="66"/>
      <c r="F71" s="66">
        <v>0</v>
      </c>
      <c r="G71" s="66"/>
      <c r="H71" s="66">
        <f t="shared" si="0"/>
        <v>0</v>
      </c>
      <c r="I71" s="69"/>
      <c r="J71" s="66">
        <v>520890410</v>
      </c>
      <c r="K71" s="66"/>
      <c r="L71" s="66">
        <v>0</v>
      </c>
      <c r="M71" s="66"/>
      <c r="N71" s="66">
        <f t="shared" si="1"/>
        <v>520890410</v>
      </c>
    </row>
    <row r="72" spans="1:14" s="105" customFormat="1" ht="17.45" customHeight="1">
      <c r="A72" s="200" t="s">
        <v>141</v>
      </c>
      <c r="B72" s="167"/>
      <c r="D72" s="66">
        <v>0</v>
      </c>
      <c r="E72" s="66"/>
      <c r="F72" s="66">
        <v>0</v>
      </c>
      <c r="G72" s="66"/>
      <c r="H72" s="66">
        <f t="shared" ref="H72:H124" si="2">D72+F72</f>
        <v>0</v>
      </c>
      <c r="I72" s="69"/>
      <c r="J72" s="66">
        <v>241742466</v>
      </c>
      <c r="K72" s="66"/>
      <c r="L72" s="66">
        <v>0</v>
      </c>
      <c r="M72" s="66"/>
      <c r="N72" s="66">
        <f t="shared" ref="N72:N124" si="3">J72+L72</f>
        <v>241742466</v>
      </c>
    </row>
    <row r="73" spans="1:14" s="105" customFormat="1" ht="17.45" customHeight="1">
      <c r="A73" s="200" t="s">
        <v>156</v>
      </c>
      <c r="B73" s="167"/>
      <c r="D73" s="66">
        <v>0</v>
      </c>
      <c r="E73" s="66"/>
      <c r="F73" s="66">
        <v>0</v>
      </c>
      <c r="G73" s="66"/>
      <c r="H73" s="66">
        <f t="shared" si="2"/>
        <v>0</v>
      </c>
      <c r="I73" s="69"/>
      <c r="J73" s="66">
        <v>687476712.00000012</v>
      </c>
      <c r="K73" s="66"/>
      <c r="L73" s="66">
        <v>0</v>
      </c>
      <c r="M73" s="66"/>
      <c r="N73" s="66">
        <f t="shared" si="3"/>
        <v>687476712.00000012</v>
      </c>
    </row>
    <row r="74" spans="1:14" s="105" customFormat="1" ht="17.45" customHeight="1">
      <c r="A74" s="200" t="s">
        <v>152</v>
      </c>
      <c r="B74" s="167"/>
      <c r="D74" s="66">
        <v>0</v>
      </c>
      <c r="E74" s="66"/>
      <c r="F74" s="66">
        <v>0</v>
      </c>
      <c r="G74" s="66"/>
      <c r="H74" s="66">
        <f t="shared" si="2"/>
        <v>0</v>
      </c>
      <c r="I74" s="69"/>
      <c r="J74" s="140">
        <v>50312468</v>
      </c>
      <c r="K74" s="66"/>
      <c r="L74" s="66">
        <v>0</v>
      </c>
      <c r="M74" s="66"/>
      <c r="N74" s="66">
        <f t="shared" si="3"/>
        <v>50312468</v>
      </c>
    </row>
    <row r="75" spans="1:14" s="105" customFormat="1" ht="17.45" customHeight="1">
      <c r="A75" s="200" t="s">
        <v>155</v>
      </c>
      <c r="B75" s="167"/>
      <c r="D75" s="66">
        <v>0</v>
      </c>
      <c r="E75" s="66"/>
      <c r="F75" s="66">
        <v>0</v>
      </c>
      <c r="G75" s="66"/>
      <c r="H75" s="66">
        <f t="shared" si="2"/>
        <v>0</v>
      </c>
      <c r="I75" s="69"/>
      <c r="J75" s="66">
        <v>257307534</v>
      </c>
      <c r="K75" s="66"/>
      <c r="L75" s="66">
        <v>0</v>
      </c>
      <c r="M75" s="66"/>
      <c r="N75" s="66">
        <f t="shared" si="3"/>
        <v>257307534</v>
      </c>
    </row>
    <row r="76" spans="1:14" s="105" customFormat="1" ht="17.45" customHeight="1">
      <c r="A76" s="200" t="s">
        <v>146</v>
      </c>
      <c r="B76" s="167"/>
      <c r="D76" s="66">
        <v>0</v>
      </c>
      <c r="E76" s="66"/>
      <c r="F76" s="66">
        <v>0</v>
      </c>
      <c r="G76" s="66"/>
      <c r="H76" s="66">
        <f t="shared" si="2"/>
        <v>0</v>
      </c>
      <c r="I76" s="69"/>
      <c r="J76" s="66">
        <v>440228528</v>
      </c>
      <c r="K76" s="66"/>
      <c r="L76" s="66">
        <v>0</v>
      </c>
      <c r="M76" s="66"/>
      <c r="N76" s="66">
        <f t="shared" si="3"/>
        <v>440228528</v>
      </c>
    </row>
    <row r="77" spans="1:14" s="105" customFormat="1" ht="17.45" customHeight="1">
      <c r="A77" s="200" t="s">
        <v>148</v>
      </c>
      <c r="B77" s="167"/>
      <c r="D77" s="66">
        <v>0</v>
      </c>
      <c r="E77" s="66"/>
      <c r="F77" s="66">
        <v>0</v>
      </c>
      <c r="G77" s="66"/>
      <c r="H77" s="66">
        <f t="shared" si="2"/>
        <v>0</v>
      </c>
      <c r="I77" s="69"/>
      <c r="J77" s="66">
        <v>102914383</v>
      </c>
      <c r="K77" s="66"/>
      <c r="L77" s="66">
        <v>0</v>
      </c>
      <c r="M77" s="66"/>
      <c r="N77" s="66">
        <f t="shared" si="3"/>
        <v>102914383</v>
      </c>
    </row>
    <row r="78" spans="1:14" s="105" customFormat="1" ht="17.45" customHeight="1">
      <c r="A78" s="200" t="s">
        <v>140</v>
      </c>
      <c r="B78" s="167"/>
      <c r="D78" s="66">
        <v>0</v>
      </c>
      <c r="E78" s="66"/>
      <c r="F78" s="66">
        <v>0</v>
      </c>
      <c r="G78" s="66"/>
      <c r="H78" s="66">
        <f t="shared" si="2"/>
        <v>0</v>
      </c>
      <c r="I78" s="69"/>
      <c r="J78" s="66">
        <v>1510273972</v>
      </c>
      <c r="K78" s="66"/>
      <c r="L78" s="66">
        <v>0</v>
      </c>
      <c r="M78" s="66"/>
      <c r="N78" s="66">
        <f t="shared" si="3"/>
        <v>1510273972</v>
      </c>
    </row>
    <row r="79" spans="1:14" s="105" customFormat="1" ht="17.45" customHeight="1">
      <c r="A79" s="200" t="s">
        <v>154</v>
      </c>
      <c r="B79" s="167"/>
      <c r="D79" s="66">
        <v>0</v>
      </c>
      <c r="E79" s="66"/>
      <c r="F79" s="66">
        <v>0</v>
      </c>
      <c r="G79" s="66"/>
      <c r="H79" s="66">
        <f t="shared" si="2"/>
        <v>0</v>
      </c>
      <c r="I79" s="69"/>
      <c r="J79" s="66">
        <v>1557036986</v>
      </c>
      <c r="K79" s="66"/>
      <c r="L79" s="66">
        <v>0</v>
      </c>
      <c r="M79" s="66"/>
      <c r="N79" s="66">
        <f t="shared" si="3"/>
        <v>1557036986</v>
      </c>
    </row>
    <row r="80" spans="1:14" s="105" customFormat="1" ht="17.45" customHeight="1">
      <c r="A80" s="200" t="s">
        <v>150</v>
      </c>
      <c r="B80" s="167"/>
      <c r="D80" s="66">
        <v>0</v>
      </c>
      <c r="E80" s="66"/>
      <c r="F80" s="66">
        <v>0</v>
      </c>
      <c r="G80" s="66"/>
      <c r="H80" s="66">
        <f t="shared" si="2"/>
        <v>0</v>
      </c>
      <c r="I80" s="69"/>
      <c r="J80" s="66">
        <v>5856165</v>
      </c>
      <c r="K80" s="66"/>
      <c r="L80" s="66">
        <v>0</v>
      </c>
      <c r="M80" s="66"/>
      <c r="N80" s="66">
        <f t="shared" si="3"/>
        <v>5856165</v>
      </c>
    </row>
    <row r="81" spans="1:14" s="105" customFormat="1" ht="17.45" customHeight="1">
      <c r="A81" s="200" t="s">
        <v>136</v>
      </c>
      <c r="B81" s="167"/>
      <c r="D81" s="66">
        <v>0</v>
      </c>
      <c r="E81" s="66"/>
      <c r="F81" s="66">
        <v>0</v>
      </c>
      <c r="G81" s="66"/>
      <c r="H81" s="66">
        <f t="shared" si="2"/>
        <v>0</v>
      </c>
      <c r="I81" s="69"/>
      <c r="J81" s="66">
        <v>81986301</v>
      </c>
      <c r="K81" s="66"/>
      <c r="L81" s="66">
        <v>0</v>
      </c>
      <c r="M81" s="66"/>
      <c r="N81" s="66">
        <f t="shared" si="3"/>
        <v>81986301</v>
      </c>
    </row>
    <row r="82" spans="1:14" s="105" customFormat="1" ht="17.45" customHeight="1">
      <c r="A82" s="200" t="s">
        <v>149</v>
      </c>
      <c r="B82" s="167"/>
      <c r="D82" s="66">
        <v>0</v>
      </c>
      <c r="E82" s="66"/>
      <c r="F82" s="66">
        <v>0</v>
      </c>
      <c r="G82" s="66"/>
      <c r="H82" s="66">
        <f t="shared" si="2"/>
        <v>0</v>
      </c>
      <c r="I82" s="69"/>
      <c r="J82" s="140">
        <v>25767124</v>
      </c>
      <c r="K82" s="66"/>
      <c r="L82" s="66">
        <v>0</v>
      </c>
      <c r="M82" s="66"/>
      <c r="N82" s="66">
        <f t="shared" si="3"/>
        <v>25767124</v>
      </c>
    </row>
    <row r="83" spans="1:14" s="105" customFormat="1" ht="17.45" customHeight="1">
      <c r="A83" s="200" t="s">
        <v>147</v>
      </c>
      <c r="B83" s="167"/>
      <c r="D83" s="66">
        <v>0</v>
      </c>
      <c r="E83" s="66"/>
      <c r="F83" s="66">
        <v>0</v>
      </c>
      <c r="G83" s="66"/>
      <c r="H83" s="66">
        <f t="shared" si="2"/>
        <v>0</v>
      </c>
      <c r="I83" s="69"/>
      <c r="J83" s="66">
        <v>309673973</v>
      </c>
      <c r="K83" s="66"/>
      <c r="L83" s="66">
        <v>0</v>
      </c>
      <c r="M83" s="66"/>
      <c r="N83" s="66">
        <f t="shared" si="3"/>
        <v>309673973</v>
      </c>
    </row>
    <row r="84" spans="1:14" s="105" customFormat="1" ht="17.45" customHeight="1">
      <c r="A84" s="200" t="s">
        <v>135</v>
      </c>
      <c r="B84" s="167"/>
      <c r="D84" s="66">
        <v>0</v>
      </c>
      <c r="E84" s="66"/>
      <c r="F84" s="66">
        <v>0</v>
      </c>
      <c r="G84" s="66"/>
      <c r="H84" s="66">
        <f t="shared" si="2"/>
        <v>0</v>
      </c>
      <c r="I84" s="69"/>
      <c r="J84" s="66">
        <v>64417808</v>
      </c>
      <c r="K84" s="66"/>
      <c r="L84" s="66">
        <v>0</v>
      </c>
      <c r="M84" s="66"/>
      <c r="N84" s="66">
        <f t="shared" si="3"/>
        <v>64417808</v>
      </c>
    </row>
    <row r="85" spans="1:14" s="105" customFormat="1" ht="17.45" customHeight="1">
      <c r="A85" s="200" t="s">
        <v>153</v>
      </c>
      <c r="B85" s="167"/>
      <c r="D85" s="66">
        <v>0</v>
      </c>
      <c r="E85" s="66"/>
      <c r="F85" s="66">
        <v>0</v>
      </c>
      <c r="G85" s="66"/>
      <c r="H85" s="66">
        <f t="shared" si="2"/>
        <v>0</v>
      </c>
      <c r="I85" s="69"/>
      <c r="J85" s="66">
        <v>10861662328</v>
      </c>
      <c r="K85" s="66"/>
      <c r="L85" s="66">
        <v>0</v>
      </c>
      <c r="M85" s="66"/>
      <c r="N85" s="66">
        <f t="shared" si="3"/>
        <v>10861662328</v>
      </c>
    </row>
    <row r="86" spans="1:14" s="105" customFormat="1" ht="17.45" customHeight="1">
      <c r="A86" s="200" t="s">
        <v>138</v>
      </c>
      <c r="B86" s="167"/>
      <c r="D86" s="66">
        <v>0</v>
      </c>
      <c r="E86" s="66"/>
      <c r="F86" s="66">
        <v>0</v>
      </c>
      <c r="G86" s="66"/>
      <c r="H86" s="66">
        <f t="shared" si="2"/>
        <v>0</v>
      </c>
      <c r="I86" s="69"/>
      <c r="J86" s="66">
        <v>38065069</v>
      </c>
      <c r="K86" s="66"/>
      <c r="L86" s="66">
        <v>0</v>
      </c>
      <c r="M86" s="66"/>
      <c r="N86" s="66">
        <f t="shared" si="3"/>
        <v>38065069</v>
      </c>
    </row>
    <row r="87" spans="1:14" s="105" customFormat="1" ht="17.45" customHeight="1">
      <c r="A87" s="200" t="s">
        <v>127</v>
      </c>
      <c r="B87" s="167"/>
      <c r="D87" s="66">
        <v>0</v>
      </c>
      <c r="E87" s="66"/>
      <c r="F87" s="66">
        <v>0</v>
      </c>
      <c r="G87" s="66"/>
      <c r="H87" s="66">
        <f t="shared" si="2"/>
        <v>0</v>
      </c>
      <c r="I87" s="69"/>
      <c r="J87" s="140">
        <v>303333906.00000006</v>
      </c>
      <c r="K87" s="66"/>
      <c r="L87" s="66">
        <v>0</v>
      </c>
      <c r="M87" s="66"/>
      <c r="N87" s="66">
        <f t="shared" si="3"/>
        <v>303333906.00000006</v>
      </c>
    </row>
    <row r="88" spans="1:14" s="105" customFormat="1" ht="17.45" customHeight="1">
      <c r="A88" s="200" t="s">
        <v>132</v>
      </c>
      <c r="B88" s="167"/>
      <c r="D88" s="66">
        <v>0</v>
      </c>
      <c r="E88" s="66"/>
      <c r="F88" s="66">
        <v>0</v>
      </c>
      <c r="G88" s="66"/>
      <c r="H88" s="66">
        <f t="shared" si="2"/>
        <v>0</v>
      </c>
      <c r="I88" s="69"/>
      <c r="J88" s="66">
        <v>5942619864</v>
      </c>
      <c r="K88" s="66"/>
      <c r="L88" s="66">
        <v>0</v>
      </c>
      <c r="M88" s="66"/>
      <c r="N88" s="66">
        <f t="shared" si="3"/>
        <v>5942619864</v>
      </c>
    </row>
    <row r="89" spans="1:14" s="105" customFormat="1" ht="17.45" customHeight="1">
      <c r="A89" s="200" t="s">
        <v>176</v>
      </c>
      <c r="B89" s="167"/>
      <c r="D89" s="66">
        <v>0</v>
      </c>
      <c r="E89" s="66"/>
      <c r="F89" s="66">
        <v>0</v>
      </c>
      <c r="G89" s="66"/>
      <c r="H89" s="66">
        <f t="shared" si="2"/>
        <v>0</v>
      </c>
      <c r="I89" s="69"/>
      <c r="J89" s="66">
        <v>364746575</v>
      </c>
      <c r="K89" s="66"/>
      <c r="L89" s="66">
        <v>0</v>
      </c>
      <c r="M89" s="66"/>
      <c r="N89" s="66">
        <f t="shared" si="3"/>
        <v>364746575</v>
      </c>
    </row>
    <row r="90" spans="1:14" s="105" customFormat="1" ht="17.45" customHeight="1">
      <c r="A90" s="200" t="s">
        <v>207</v>
      </c>
      <c r="B90" s="167"/>
      <c r="D90" s="66">
        <v>3833</v>
      </c>
      <c r="E90" s="66"/>
      <c r="F90" s="66">
        <v>0</v>
      </c>
      <c r="G90" s="66"/>
      <c r="H90" s="66">
        <f t="shared" si="2"/>
        <v>3833</v>
      </c>
      <c r="I90" s="69"/>
      <c r="J90" s="66">
        <f>33912+3980428507</f>
        <v>3980462419</v>
      </c>
      <c r="K90" s="66"/>
      <c r="L90" s="66">
        <v>0</v>
      </c>
      <c r="M90" s="66"/>
      <c r="N90" s="66">
        <f t="shared" si="3"/>
        <v>3980462419</v>
      </c>
    </row>
    <row r="91" spans="1:14" s="105" customFormat="1" ht="17.45" customHeight="1">
      <c r="A91" s="200" t="s">
        <v>184</v>
      </c>
      <c r="B91" s="167"/>
      <c r="D91" s="66">
        <v>0</v>
      </c>
      <c r="E91" s="66"/>
      <c r="F91" s="66">
        <v>0</v>
      </c>
      <c r="G91" s="66"/>
      <c r="H91" s="66">
        <f t="shared" si="2"/>
        <v>0</v>
      </c>
      <c r="I91" s="69"/>
      <c r="J91" s="66">
        <v>13778406369.310345</v>
      </c>
      <c r="K91" s="66"/>
      <c r="L91" s="66">
        <v>0</v>
      </c>
      <c r="M91" s="66"/>
      <c r="N91" s="66">
        <f t="shared" si="3"/>
        <v>13778406369.310345</v>
      </c>
    </row>
    <row r="92" spans="1:14" s="105" customFormat="1" ht="17.45" customHeight="1">
      <c r="A92" s="200" t="s">
        <v>162</v>
      </c>
      <c r="B92" s="167"/>
      <c r="D92" s="66">
        <v>15059</v>
      </c>
      <c r="E92" s="66"/>
      <c r="F92" s="66">
        <v>0</v>
      </c>
      <c r="G92" s="66"/>
      <c r="H92" s="66">
        <f t="shared" si="2"/>
        <v>15059</v>
      </c>
      <c r="I92" s="69"/>
      <c r="J92" s="66">
        <f>35087+3341078384</f>
        <v>3341113471</v>
      </c>
      <c r="K92" s="66"/>
      <c r="L92" s="66">
        <v>0</v>
      </c>
      <c r="M92" s="66"/>
      <c r="N92" s="66">
        <f t="shared" si="3"/>
        <v>3341113471</v>
      </c>
    </row>
    <row r="93" spans="1:14" s="105" customFormat="1" ht="17.45" customHeight="1">
      <c r="A93" s="200" t="s">
        <v>124</v>
      </c>
      <c r="B93" s="167"/>
      <c r="D93" s="66">
        <v>114954441.69899663</v>
      </c>
      <c r="E93" s="66"/>
      <c r="F93" s="66">
        <v>0</v>
      </c>
      <c r="G93" s="66"/>
      <c r="H93" s="66">
        <f t="shared" si="2"/>
        <v>114954441.69899663</v>
      </c>
      <c r="I93" s="69"/>
      <c r="J93" s="66">
        <v>276756</v>
      </c>
      <c r="K93" s="66"/>
      <c r="L93" s="66">
        <v>0</v>
      </c>
      <c r="M93" s="66"/>
      <c r="N93" s="66">
        <f t="shared" si="3"/>
        <v>276756</v>
      </c>
    </row>
    <row r="94" spans="1:14" s="105" customFormat="1" ht="17.45" customHeight="1">
      <c r="A94" s="200" t="s">
        <v>130</v>
      </c>
      <c r="B94" s="167"/>
      <c r="D94" s="66">
        <v>0</v>
      </c>
      <c r="E94" s="66"/>
      <c r="F94" s="66">
        <v>0</v>
      </c>
      <c r="G94" s="66"/>
      <c r="H94" s="66">
        <f t="shared" si="2"/>
        <v>0</v>
      </c>
      <c r="I94" s="69"/>
      <c r="J94" s="66">
        <v>2568975880</v>
      </c>
      <c r="K94" s="66"/>
      <c r="L94" s="66">
        <v>0</v>
      </c>
      <c r="M94" s="66"/>
      <c r="N94" s="66">
        <f t="shared" si="3"/>
        <v>2568975880</v>
      </c>
    </row>
    <row r="95" spans="1:14" ht="17.45" customHeight="1">
      <c r="A95" s="200" t="s">
        <v>298</v>
      </c>
      <c r="B95" s="167"/>
      <c r="C95" s="105"/>
      <c r="D95" s="66">
        <v>209900346.32107025</v>
      </c>
      <c r="E95" s="66"/>
      <c r="F95" s="66">
        <v>0</v>
      </c>
      <c r="G95" s="66"/>
      <c r="H95" s="66">
        <f t="shared" si="2"/>
        <v>209900346.32107025</v>
      </c>
      <c r="I95" s="69"/>
      <c r="J95" s="66">
        <v>209900346.32107025</v>
      </c>
      <c r="K95" s="66"/>
      <c r="L95" s="66">
        <v>0</v>
      </c>
      <c r="M95" s="66"/>
      <c r="N95" s="66">
        <f t="shared" si="3"/>
        <v>209900346.32107025</v>
      </c>
    </row>
    <row r="96" spans="1:14" s="105" customFormat="1" ht="17.45" customHeight="1">
      <c r="A96" s="200" t="s">
        <v>299</v>
      </c>
      <c r="B96" s="167"/>
      <c r="D96" s="66">
        <v>14178080.769230772</v>
      </c>
      <c r="E96" s="66"/>
      <c r="F96" s="66">
        <v>0</v>
      </c>
      <c r="G96" s="66"/>
      <c r="H96" s="66">
        <f t="shared" si="2"/>
        <v>14178080.769230772</v>
      </c>
      <c r="I96" s="69"/>
      <c r="J96" s="66">
        <v>14178080.769230772</v>
      </c>
      <c r="K96" s="66"/>
      <c r="L96" s="66">
        <v>0</v>
      </c>
      <c r="M96" s="66"/>
      <c r="N96" s="66">
        <f t="shared" si="3"/>
        <v>14178080.769230772</v>
      </c>
    </row>
    <row r="97" spans="1:14" s="105" customFormat="1" ht="17.45" customHeight="1">
      <c r="A97" s="200" t="s">
        <v>300</v>
      </c>
      <c r="B97" s="167"/>
      <c r="D97" s="66">
        <v>125445213.21070234</v>
      </c>
      <c r="E97" s="66"/>
      <c r="F97" s="66">
        <v>-119524</v>
      </c>
      <c r="G97" s="66"/>
      <c r="H97" s="66">
        <f t="shared" si="2"/>
        <v>125325689.21070234</v>
      </c>
      <c r="I97" s="69"/>
      <c r="J97" s="66">
        <v>125445213.21070234</v>
      </c>
      <c r="K97" s="66"/>
      <c r="L97" s="66">
        <v>-119524</v>
      </c>
      <c r="M97" s="66"/>
      <c r="N97" s="66">
        <f t="shared" si="3"/>
        <v>125325689.21070234</v>
      </c>
    </row>
    <row r="98" spans="1:14" s="105" customFormat="1" ht="17.45" customHeight="1">
      <c r="A98" s="200" t="s">
        <v>175</v>
      </c>
      <c r="B98" s="167"/>
      <c r="D98" s="66">
        <v>0</v>
      </c>
      <c r="E98" s="66"/>
      <c r="F98" s="66">
        <v>0</v>
      </c>
      <c r="G98" s="66"/>
      <c r="H98" s="66">
        <f t="shared" si="2"/>
        <v>0</v>
      </c>
      <c r="I98" s="69"/>
      <c r="J98" s="66">
        <v>6780821916.272727</v>
      </c>
      <c r="K98" s="66"/>
      <c r="L98" s="66">
        <v>0</v>
      </c>
      <c r="M98" s="66"/>
      <c r="N98" s="66">
        <f t="shared" si="3"/>
        <v>6780821916.272727</v>
      </c>
    </row>
    <row r="99" spans="1:14" s="105" customFormat="1" ht="17.45" customHeight="1">
      <c r="A99" s="200" t="s">
        <v>169</v>
      </c>
      <c r="B99" s="167"/>
      <c r="D99" s="66">
        <v>0</v>
      </c>
      <c r="E99" s="66"/>
      <c r="F99" s="66">
        <v>0</v>
      </c>
      <c r="G99" s="66"/>
      <c r="H99" s="66">
        <f t="shared" si="2"/>
        <v>0</v>
      </c>
      <c r="I99" s="69"/>
      <c r="J99" s="140">
        <v>5424657534</v>
      </c>
      <c r="K99" s="66"/>
      <c r="L99" s="66">
        <v>0</v>
      </c>
      <c r="M99" s="66"/>
      <c r="N99" s="66">
        <f t="shared" si="3"/>
        <v>5424657534</v>
      </c>
    </row>
    <row r="100" spans="1:14" s="105" customFormat="1" ht="17.45" customHeight="1">
      <c r="A100" s="200" t="s">
        <v>183</v>
      </c>
      <c r="B100" s="167"/>
      <c r="D100" s="66">
        <v>0</v>
      </c>
      <c r="E100" s="66"/>
      <c r="F100" s="66">
        <v>0</v>
      </c>
      <c r="G100" s="66"/>
      <c r="H100" s="66">
        <f t="shared" si="2"/>
        <v>0</v>
      </c>
      <c r="I100" s="69"/>
      <c r="J100" s="66">
        <v>13594166506.551725</v>
      </c>
      <c r="K100" s="66"/>
      <c r="L100" s="66">
        <v>0</v>
      </c>
      <c r="M100" s="66"/>
      <c r="N100" s="66">
        <f t="shared" si="3"/>
        <v>13594166506.551725</v>
      </c>
    </row>
    <row r="101" spans="1:14" s="105" customFormat="1" ht="17.45" customHeight="1">
      <c r="A101" s="200" t="s">
        <v>143</v>
      </c>
      <c r="B101" s="167"/>
      <c r="D101" s="66">
        <v>0</v>
      </c>
      <c r="E101" s="66"/>
      <c r="F101" s="66">
        <v>0</v>
      </c>
      <c r="G101" s="66"/>
      <c r="H101" s="66">
        <f t="shared" si="2"/>
        <v>0</v>
      </c>
      <c r="I101" s="69"/>
      <c r="J101" s="140">
        <v>1833890928.3333333</v>
      </c>
      <c r="K101" s="66"/>
      <c r="L101" s="66">
        <v>0</v>
      </c>
      <c r="M101" s="66"/>
      <c r="N101" s="66">
        <f t="shared" si="3"/>
        <v>1833890928.3333333</v>
      </c>
    </row>
    <row r="102" spans="1:14" ht="17.45" customHeight="1">
      <c r="A102" s="200" t="s">
        <v>115</v>
      </c>
      <c r="B102" s="167"/>
      <c r="C102" s="105"/>
      <c r="D102" s="66">
        <v>0</v>
      </c>
      <c r="E102" s="66"/>
      <c r="F102" s="66">
        <v>0</v>
      </c>
      <c r="G102" s="66"/>
      <c r="H102" s="66">
        <f t="shared" si="2"/>
        <v>0</v>
      </c>
      <c r="I102" s="69"/>
      <c r="J102" s="66">
        <v>103191556.41509433</v>
      </c>
      <c r="K102" s="66"/>
      <c r="L102" s="66">
        <v>0</v>
      </c>
      <c r="M102" s="66"/>
      <c r="N102" s="66">
        <f t="shared" si="3"/>
        <v>103191556.41509433</v>
      </c>
    </row>
    <row r="103" spans="1:14" s="105" customFormat="1" ht="17.45" customHeight="1">
      <c r="A103" s="200" t="s">
        <v>151</v>
      </c>
      <c r="B103" s="167"/>
      <c r="D103" s="66">
        <v>0</v>
      </c>
      <c r="E103" s="66"/>
      <c r="F103" s="66">
        <v>0</v>
      </c>
      <c r="G103" s="66"/>
      <c r="H103" s="66">
        <f t="shared" si="2"/>
        <v>0</v>
      </c>
      <c r="I103" s="69"/>
      <c r="J103" s="66">
        <v>7259181982.5</v>
      </c>
      <c r="K103" s="66"/>
      <c r="L103" s="66">
        <v>0</v>
      </c>
      <c r="M103" s="66"/>
      <c r="N103" s="66">
        <f t="shared" si="3"/>
        <v>7259181982.5</v>
      </c>
    </row>
    <row r="104" spans="1:14" ht="17.45" customHeight="1">
      <c r="A104" s="200" t="s">
        <v>110</v>
      </c>
      <c r="B104" s="167"/>
      <c r="C104" s="105"/>
      <c r="D104" s="66">
        <v>0</v>
      </c>
      <c r="E104" s="66"/>
      <c r="F104" s="66">
        <v>0</v>
      </c>
      <c r="G104" s="66"/>
      <c r="H104" s="66">
        <f t="shared" si="2"/>
        <v>0</v>
      </c>
      <c r="I104" s="69"/>
      <c r="J104" s="66">
        <v>58909586.603773586</v>
      </c>
      <c r="K104" s="66"/>
      <c r="L104" s="66">
        <v>0</v>
      </c>
      <c r="M104" s="66"/>
      <c r="N104" s="66">
        <f t="shared" si="3"/>
        <v>58909586.603773586</v>
      </c>
    </row>
    <row r="105" spans="1:14" s="105" customFormat="1" ht="17.45" customHeight="1">
      <c r="A105" s="200" t="s">
        <v>244</v>
      </c>
      <c r="B105" s="167"/>
      <c r="D105" s="66">
        <v>0</v>
      </c>
      <c r="E105" s="66"/>
      <c r="F105" s="66">
        <v>0</v>
      </c>
      <c r="G105" s="66"/>
      <c r="H105" s="66">
        <f t="shared" si="2"/>
        <v>0</v>
      </c>
      <c r="I105" s="69"/>
      <c r="J105" s="66">
        <v>6740641.6981132077</v>
      </c>
      <c r="K105" s="66"/>
      <c r="L105" s="66">
        <v>0</v>
      </c>
      <c r="M105" s="66"/>
      <c r="N105" s="66">
        <f t="shared" si="3"/>
        <v>6740641.6981132077</v>
      </c>
    </row>
    <row r="106" spans="1:14" s="105" customFormat="1" ht="17.45" customHeight="1">
      <c r="A106" s="200" t="s">
        <v>245</v>
      </c>
      <c r="B106" s="167"/>
      <c r="D106" s="66">
        <v>0</v>
      </c>
      <c r="E106" s="66"/>
      <c r="F106" s="66">
        <v>0</v>
      </c>
      <c r="G106" s="66"/>
      <c r="H106" s="66">
        <f t="shared" si="2"/>
        <v>0</v>
      </c>
      <c r="I106" s="69"/>
      <c r="J106" s="66">
        <v>5715609.6226415094</v>
      </c>
      <c r="K106" s="66"/>
      <c r="L106" s="66">
        <v>0</v>
      </c>
      <c r="M106" s="66"/>
      <c r="N106" s="66">
        <f t="shared" si="3"/>
        <v>5715609.6226415094</v>
      </c>
    </row>
    <row r="107" spans="1:14" s="105" customFormat="1" ht="17.45" customHeight="1">
      <c r="A107" s="200" t="s">
        <v>106</v>
      </c>
      <c r="B107" s="167"/>
      <c r="D107" s="66">
        <v>0</v>
      </c>
      <c r="E107" s="66"/>
      <c r="F107" s="66">
        <v>0</v>
      </c>
      <c r="G107" s="66"/>
      <c r="H107" s="66">
        <f t="shared" si="2"/>
        <v>0</v>
      </c>
      <c r="I107" s="69"/>
      <c r="J107" s="66">
        <v>19955265.283018865</v>
      </c>
      <c r="K107" s="66"/>
      <c r="L107" s="66">
        <v>0</v>
      </c>
      <c r="M107" s="66"/>
      <c r="N107" s="66">
        <f t="shared" si="3"/>
        <v>19955265.283018865</v>
      </c>
    </row>
    <row r="108" spans="1:14" s="105" customFormat="1" ht="17.45" customHeight="1">
      <c r="A108" s="200" t="s">
        <v>139</v>
      </c>
      <c r="B108" s="167"/>
      <c r="D108" s="66">
        <v>0</v>
      </c>
      <c r="E108" s="66"/>
      <c r="F108" s="66">
        <v>0</v>
      </c>
      <c r="G108" s="66"/>
      <c r="H108" s="66">
        <f t="shared" si="2"/>
        <v>0</v>
      </c>
      <c r="I108" s="69"/>
      <c r="J108" s="66">
        <v>1629280759.1666667</v>
      </c>
      <c r="K108" s="66"/>
      <c r="L108" s="66">
        <v>0</v>
      </c>
      <c r="M108" s="66"/>
      <c r="N108" s="66">
        <f t="shared" si="3"/>
        <v>1629280759.1666667</v>
      </c>
    </row>
    <row r="109" spans="1:14" s="105" customFormat="1" ht="17.45" customHeight="1">
      <c r="A109" s="200" t="s">
        <v>182</v>
      </c>
      <c r="B109" s="167"/>
      <c r="D109" s="66">
        <v>0</v>
      </c>
      <c r="E109" s="66"/>
      <c r="F109" s="66">
        <v>0</v>
      </c>
      <c r="G109" s="66"/>
      <c r="H109" s="66">
        <f t="shared" si="2"/>
        <v>0</v>
      </c>
      <c r="I109" s="69"/>
      <c r="J109" s="66">
        <v>3982191781.034483</v>
      </c>
      <c r="K109" s="66"/>
      <c r="L109" s="66">
        <v>0</v>
      </c>
      <c r="M109" s="66"/>
      <c r="N109" s="66">
        <f t="shared" si="3"/>
        <v>3982191781.034483</v>
      </c>
    </row>
    <row r="110" spans="1:14" s="105" customFormat="1" ht="17.45" customHeight="1">
      <c r="A110" s="200" t="s">
        <v>125</v>
      </c>
      <c r="B110" s="167"/>
      <c r="D110" s="66">
        <v>0</v>
      </c>
      <c r="E110" s="66"/>
      <c r="F110" s="66">
        <v>0</v>
      </c>
      <c r="G110" s="66"/>
      <c r="H110" s="66">
        <f t="shared" si="2"/>
        <v>0</v>
      </c>
      <c r="I110" s="69"/>
      <c r="J110" s="66">
        <v>1431564389.1509433</v>
      </c>
      <c r="K110" s="66"/>
      <c r="L110" s="66">
        <v>0</v>
      </c>
      <c r="M110" s="66"/>
      <c r="N110" s="66">
        <f t="shared" si="3"/>
        <v>1431564389.1509433</v>
      </c>
    </row>
    <row r="111" spans="1:14" s="105" customFormat="1" ht="17.45" customHeight="1">
      <c r="A111" s="200" t="s">
        <v>246</v>
      </c>
      <c r="B111" s="167"/>
      <c r="D111" s="66">
        <v>0</v>
      </c>
      <c r="E111" s="66"/>
      <c r="F111" s="66">
        <v>0</v>
      </c>
      <c r="G111" s="66"/>
      <c r="H111" s="66">
        <f t="shared" si="2"/>
        <v>0</v>
      </c>
      <c r="I111" s="69"/>
      <c r="J111" s="66">
        <v>1049243.3653846155</v>
      </c>
      <c r="K111" s="66"/>
      <c r="L111" s="66">
        <v>0</v>
      </c>
      <c r="M111" s="66"/>
      <c r="N111" s="66">
        <f t="shared" si="3"/>
        <v>1049243.3653846155</v>
      </c>
    </row>
    <row r="112" spans="1:14" s="105" customFormat="1" ht="17.45" customHeight="1">
      <c r="A112" s="200" t="s">
        <v>247</v>
      </c>
      <c r="B112" s="167"/>
      <c r="D112" s="66">
        <v>0</v>
      </c>
      <c r="E112" s="66"/>
      <c r="F112" s="66">
        <v>0</v>
      </c>
      <c r="G112" s="66"/>
      <c r="H112" s="66">
        <f t="shared" si="2"/>
        <v>0</v>
      </c>
      <c r="I112" s="69"/>
      <c r="J112" s="66">
        <v>6827283.173076923</v>
      </c>
      <c r="K112" s="66"/>
      <c r="L112" s="66">
        <v>0</v>
      </c>
      <c r="M112" s="66"/>
      <c r="N112" s="66">
        <f t="shared" si="3"/>
        <v>6827283.173076923</v>
      </c>
    </row>
    <row r="113" spans="1:14" ht="17.45" customHeight="1">
      <c r="A113" s="200" t="s">
        <v>248</v>
      </c>
      <c r="B113" s="163"/>
      <c r="C113" s="163"/>
      <c r="D113" s="66">
        <v>0</v>
      </c>
      <c r="E113" s="66"/>
      <c r="F113" s="66">
        <v>0</v>
      </c>
      <c r="G113" s="66"/>
      <c r="H113" s="66">
        <f t="shared" si="2"/>
        <v>0</v>
      </c>
      <c r="I113" s="72"/>
      <c r="J113" s="66">
        <v>15487729.615384616</v>
      </c>
      <c r="K113" s="66"/>
      <c r="L113" s="66">
        <v>0</v>
      </c>
      <c r="M113" s="66"/>
      <c r="N113" s="66">
        <f t="shared" si="3"/>
        <v>15487729.615384616</v>
      </c>
    </row>
    <row r="114" spans="1:14" s="105" customFormat="1" ht="17.45" customHeight="1">
      <c r="A114" s="200" t="s">
        <v>249</v>
      </c>
      <c r="B114" s="167"/>
      <c r="D114" s="66">
        <v>0</v>
      </c>
      <c r="E114" s="66"/>
      <c r="F114" s="66">
        <v>0</v>
      </c>
      <c r="G114" s="66"/>
      <c r="H114" s="66">
        <f t="shared" si="2"/>
        <v>0</v>
      </c>
      <c r="I114" s="69"/>
      <c r="J114" s="66">
        <v>2364422.884615385</v>
      </c>
      <c r="K114" s="66"/>
      <c r="L114" s="66">
        <v>0</v>
      </c>
      <c r="M114" s="66"/>
      <c r="N114" s="66">
        <f t="shared" si="3"/>
        <v>2364422.884615385</v>
      </c>
    </row>
    <row r="115" spans="1:14" s="105" customFormat="1" ht="17.45" customHeight="1">
      <c r="A115" s="200" t="s">
        <v>250</v>
      </c>
      <c r="B115" s="167"/>
      <c r="D115" s="66">
        <v>0</v>
      </c>
      <c r="E115" s="66"/>
      <c r="F115" s="66">
        <v>0</v>
      </c>
      <c r="G115" s="66"/>
      <c r="H115" s="66">
        <f t="shared" si="2"/>
        <v>0</v>
      </c>
      <c r="I115" s="69"/>
      <c r="J115" s="66">
        <v>6712181.826923077</v>
      </c>
      <c r="K115" s="66"/>
      <c r="L115" s="66">
        <v>0</v>
      </c>
      <c r="M115" s="66"/>
      <c r="N115" s="66">
        <f t="shared" si="3"/>
        <v>6712181.826923077</v>
      </c>
    </row>
    <row r="116" spans="1:14" s="105" customFormat="1" ht="17.45" customHeight="1">
      <c r="A116" s="200" t="s">
        <v>251</v>
      </c>
      <c r="B116" s="167"/>
      <c r="D116" s="66">
        <v>0</v>
      </c>
      <c r="E116" s="66"/>
      <c r="F116" s="66">
        <v>0</v>
      </c>
      <c r="G116" s="66"/>
      <c r="H116" s="66">
        <f t="shared" si="2"/>
        <v>0</v>
      </c>
      <c r="I116" s="69"/>
      <c r="J116" s="275">
        <v>863432.30769230763</v>
      </c>
      <c r="K116" s="66"/>
      <c r="L116" s="66">
        <v>0</v>
      </c>
      <c r="M116" s="66"/>
      <c r="N116" s="66">
        <f t="shared" si="3"/>
        <v>863432.30769230763</v>
      </c>
    </row>
    <row r="117" spans="1:14" s="105" customFormat="1" ht="17.45" customHeight="1">
      <c r="A117" s="200" t="s">
        <v>252</v>
      </c>
      <c r="B117" s="167"/>
      <c r="D117" s="66">
        <v>0</v>
      </c>
      <c r="E117" s="66"/>
      <c r="F117" s="66">
        <v>0</v>
      </c>
      <c r="G117" s="66"/>
      <c r="H117" s="66">
        <f t="shared" si="2"/>
        <v>0</v>
      </c>
      <c r="I117" s="69"/>
      <c r="J117" s="66">
        <v>1920928.846153846</v>
      </c>
      <c r="K117" s="66"/>
      <c r="L117" s="66">
        <v>0</v>
      </c>
      <c r="M117" s="66"/>
      <c r="N117" s="66">
        <f t="shared" si="3"/>
        <v>1920928.846153846</v>
      </c>
    </row>
    <row r="118" spans="1:14" s="105" customFormat="1" ht="17.45" customHeight="1">
      <c r="A118" s="200" t="s">
        <v>253</v>
      </c>
      <c r="B118" s="167"/>
      <c r="D118" s="66">
        <v>0</v>
      </c>
      <c r="E118" s="66"/>
      <c r="F118" s="66">
        <v>0</v>
      </c>
      <c r="G118" s="66"/>
      <c r="H118" s="66">
        <f t="shared" si="2"/>
        <v>0</v>
      </c>
      <c r="I118" s="69"/>
      <c r="J118" s="66">
        <v>2577493.557692308</v>
      </c>
      <c r="K118" s="66"/>
      <c r="L118" s="66">
        <v>0</v>
      </c>
      <c r="M118" s="66"/>
      <c r="N118" s="66">
        <f t="shared" si="3"/>
        <v>2577493.557692308</v>
      </c>
    </row>
    <row r="119" spans="1:14" s="105" customFormat="1" ht="17.45" customHeight="1">
      <c r="A119" s="200" t="s">
        <v>254</v>
      </c>
      <c r="B119" s="167"/>
      <c r="D119" s="66">
        <v>0</v>
      </c>
      <c r="E119" s="66"/>
      <c r="F119" s="66">
        <v>0</v>
      </c>
      <c r="G119" s="66"/>
      <c r="H119" s="66">
        <f t="shared" si="2"/>
        <v>0</v>
      </c>
      <c r="I119" s="69"/>
      <c r="J119" s="66">
        <v>2114528.3653846155</v>
      </c>
      <c r="K119" s="66"/>
      <c r="L119" s="66">
        <v>0</v>
      </c>
      <c r="M119" s="66"/>
      <c r="N119" s="66">
        <f t="shared" si="3"/>
        <v>2114528.3653846155</v>
      </c>
    </row>
    <row r="120" spans="1:14" s="105" customFormat="1" ht="17.45" customHeight="1">
      <c r="A120" s="200" t="s">
        <v>255</v>
      </c>
      <c r="B120" s="167"/>
      <c r="D120" s="66">
        <v>0</v>
      </c>
      <c r="E120" s="66"/>
      <c r="F120" s="66">
        <v>0</v>
      </c>
      <c r="G120" s="66"/>
      <c r="H120" s="66">
        <f t="shared" si="2"/>
        <v>0</v>
      </c>
      <c r="I120" s="78"/>
      <c r="J120" s="140">
        <v>28501490.769230772</v>
      </c>
      <c r="K120" s="66"/>
      <c r="L120" s="66">
        <v>0</v>
      </c>
      <c r="M120" s="66"/>
      <c r="N120" s="66">
        <f t="shared" si="3"/>
        <v>28501490.769230772</v>
      </c>
    </row>
    <row r="121" spans="1:14" s="105" customFormat="1" ht="17.45" customHeight="1">
      <c r="A121" s="200" t="s">
        <v>256</v>
      </c>
      <c r="B121" s="167"/>
      <c r="D121" s="66">
        <v>0</v>
      </c>
      <c r="E121" s="66"/>
      <c r="F121" s="66">
        <v>0</v>
      </c>
      <c r="G121" s="66"/>
      <c r="H121" s="66">
        <f t="shared" si="2"/>
        <v>0</v>
      </c>
      <c r="I121" s="69"/>
      <c r="J121" s="140">
        <v>1834881.7924528301</v>
      </c>
      <c r="K121" s="66"/>
      <c r="L121" s="66">
        <v>0</v>
      </c>
      <c r="M121" s="66"/>
      <c r="N121" s="66">
        <f t="shared" si="3"/>
        <v>1834881.7924528301</v>
      </c>
    </row>
    <row r="122" spans="1:14" ht="17.45" customHeight="1">
      <c r="A122" s="200" t="s">
        <v>257</v>
      </c>
      <c r="B122" s="167"/>
      <c r="C122" s="105"/>
      <c r="D122" s="66">
        <v>0</v>
      </c>
      <c r="E122" s="66"/>
      <c r="F122" s="66">
        <v>0</v>
      </c>
      <c r="G122" s="66"/>
      <c r="H122" s="66">
        <f t="shared" si="2"/>
        <v>0</v>
      </c>
      <c r="I122" s="69"/>
      <c r="J122" s="66">
        <v>9087653.2075471692</v>
      </c>
      <c r="K122" s="66"/>
      <c r="L122" s="66">
        <v>0</v>
      </c>
      <c r="M122" s="66"/>
      <c r="N122" s="66">
        <f t="shared" si="3"/>
        <v>9087653.2075471692</v>
      </c>
    </row>
    <row r="123" spans="1:14" s="105" customFormat="1" ht="17.45" customHeight="1">
      <c r="A123" s="200" t="s">
        <v>258</v>
      </c>
      <c r="B123" s="167"/>
      <c r="D123" s="66">
        <v>0</v>
      </c>
      <c r="E123" s="66"/>
      <c r="F123" s="66">
        <v>0</v>
      </c>
      <c r="G123" s="66"/>
      <c r="H123" s="66">
        <f t="shared" si="2"/>
        <v>0</v>
      </c>
      <c r="I123" s="69"/>
      <c r="J123" s="66">
        <v>2643495.283018868</v>
      </c>
      <c r="K123" s="66"/>
      <c r="L123" s="66">
        <v>0</v>
      </c>
      <c r="M123" s="66"/>
      <c r="N123" s="66">
        <f t="shared" si="3"/>
        <v>2643495.283018868</v>
      </c>
    </row>
    <row r="124" spans="1:14" s="105" customFormat="1" ht="17.45" customHeight="1">
      <c r="A124" s="200" t="s">
        <v>95</v>
      </c>
      <c r="B124" s="167"/>
      <c r="D124" s="66">
        <v>5155</v>
      </c>
      <c r="E124" s="66"/>
      <c r="F124" s="66">
        <v>0</v>
      </c>
      <c r="G124" s="66"/>
      <c r="H124" s="66">
        <f t="shared" si="2"/>
        <v>5155</v>
      </c>
      <c r="I124" s="69"/>
      <c r="J124" s="66">
        <f>1181150+7524220368</f>
        <v>7525401518</v>
      </c>
      <c r="K124" s="66"/>
      <c r="L124" s="66">
        <v>0</v>
      </c>
      <c r="M124" s="66"/>
      <c r="N124" s="66">
        <f t="shared" si="3"/>
        <v>7525401518</v>
      </c>
    </row>
    <row r="125" spans="1:14" s="105" customFormat="1" ht="19.5" customHeight="1">
      <c r="A125" s="200" t="s">
        <v>97</v>
      </c>
      <c r="B125" s="167"/>
      <c r="D125" s="66">
        <v>5385</v>
      </c>
      <c r="E125" s="66"/>
      <c r="F125" s="66">
        <v>0</v>
      </c>
      <c r="G125" s="66"/>
      <c r="H125" s="66">
        <f t="shared" ref="H125:H127" si="4">D125+F125</f>
        <v>5385</v>
      </c>
      <c r="I125" s="69"/>
      <c r="J125" s="66">
        <v>55729367</v>
      </c>
      <c r="K125" s="66"/>
      <c r="L125" s="66">
        <v>0</v>
      </c>
      <c r="M125" s="66"/>
      <c r="N125" s="66">
        <f t="shared" ref="N125:N127" si="5">J125+L125</f>
        <v>55729367</v>
      </c>
    </row>
    <row r="126" spans="1:14" s="105" customFormat="1" ht="17.45" customHeight="1">
      <c r="A126" s="200" t="s">
        <v>315</v>
      </c>
      <c r="B126" s="167"/>
      <c r="D126" s="66">
        <v>327868852</v>
      </c>
      <c r="E126" s="66"/>
      <c r="F126" s="66">
        <v>0</v>
      </c>
      <c r="G126" s="66"/>
      <c r="H126" s="66">
        <f t="shared" si="4"/>
        <v>327868852</v>
      </c>
      <c r="I126" s="69"/>
      <c r="J126" s="66">
        <v>5122950812.5</v>
      </c>
      <c r="K126" s="66"/>
      <c r="L126" s="66">
        <v>0</v>
      </c>
      <c r="M126" s="66"/>
      <c r="N126" s="66">
        <f t="shared" si="5"/>
        <v>5122950812.5</v>
      </c>
    </row>
    <row r="127" spans="1:14" s="105" customFormat="1" ht="19.5" customHeight="1">
      <c r="A127" s="200" t="s">
        <v>316</v>
      </c>
      <c r="B127" s="167"/>
      <c r="D127" s="66">
        <v>63259106</v>
      </c>
      <c r="E127" s="66"/>
      <c r="F127" s="66">
        <v>0</v>
      </c>
      <c r="G127" s="66"/>
      <c r="H127" s="66">
        <f t="shared" si="4"/>
        <v>63259106</v>
      </c>
      <c r="I127" s="69"/>
      <c r="J127" s="66">
        <v>1012144346</v>
      </c>
      <c r="K127" s="66"/>
      <c r="L127" s="66">
        <v>0</v>
      </c>
      <c r="M127" s="66"/>
      <c r="N127" s="66">
        <f t="shared" si="5"/>
        <v>1012144346</v>
      </c>
    </row>
    <row r="128" spans="1:14" s="105" customFormat="1" ht="22.5" thickBot="1">
      <c r="A128" s="200"/>
      <c r="B128" s="167"/>
      <c r="C128" s="98">
        <f>SUM(C19:C127)</f>
        <v>0</v>
      </c>
      <c r="D128" s="98">
        <f>SUM(D7:D127)</f>
        <v>14096689101</v>
      </c>
      <c r="E128" s="98">
        <f>SUM(E19:E127)</f>
        <v>0</v>
      </c>
      <c r="F128" s="98">
        <f>SUM(F7:F127)</f>
        <v>-1282014</v>
      </c>
      <c r="G128" s="98">
        <f>SUM(G19:G127)</f>
        <v>0</v>
      </c>
      <c r="H128" s="98">
        <f>SUM(H7:H127)</f>
        <v>14095407087</v>
      </c>
      <c r="I128" s="98">
        <f>SUM(I19:I127)</f>
        <v>0</v>
      </c>
      <c r="J128" s="98">
        <f>SUM(J7:J127)</f>
        <v>263644219223.2616</v>
      </c>
      <c r="K128" s="69"/>
      <c r="L128" s="98">
        <f>SUM(L7:L127)</f>
        <v>-20975576</v>
      </c>
      <c r="M128" s="69"/>
      <c r="N128" s="98">
        <f>SUM(N7:N127)</f>
        <v>263623243647.2616</v>
      </c>
    </row>
    <row r="129" ht="30.75" customHeight="1" thickTop="1"/>
  </sheetData>
  <autoFilter ref="A6:N128" xr:uid="{00000000-0009-0000-0000-000006000000}">
    <sortState xmlns:xlrd2="http://schemas.microsoft.com/office/spreadsheetml/2017/richdata2" ref="A7:N133">
      <sortCondition descending="1" ref="L6:L133"/>
    </sortState>
  </autoFilter>
  <mergeCells count="6">
    <mergeCell ref="A4:D4"/>
    <mergeCell ref="J5:N5"/>
    <mergeCell ref="A1:N1"/>
    <mergeCell ref="A2:N2"/>
    <mergeCell ref="A3:N3"/>
    <mergeCell ref="D5:H5"/>
  </mergeCells>
  <phoneticPr fontId="52" type="noConversion"/>
  <printOptions horizontalCentered="1"/>
  <pageMargins left="0.25" right="0.25" top="0.75" bottom="0.75" header="0.3" footer="0.3"/>
  <pageSetup paperSize="9" scale="35" fitToHeight="0" orientation="portrait" r:id="rId1"/>
  <rowBreaks count="1" manualBreakCount="1">
    <brk id="59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topLeftCell="B6" zoomScale="190" zoomScaleNormal="100" zoomScaleSheetLayoutView="190" workbookViewId="0">
      <selection activeCell="F11" sqref="F11"/>
    </sheetView>
  </sheetViews>
  <sheetFormatPr defaultRowHeight="15"/>
  <cols>
    <col min="1" max="1" width="15.85546875" customWidth="1"/>
    <col min="2" max="2" width="14.85546875" customWidth="1"/>
    <col min="3" max="3" width="7.5703125" bestFit="1" customWidth="1"/>
    <col min="4" max="4" width="8" customWidth="1"/>
    <col min="5" max="5" width="13.42578125" customWidth="1"/>
    <col min="6" max="6" width="13.85546875" customWidth="1"/>
    <col min="7" max="7" width="6.140625" customWidth="1"/>
    <col min="8" max="8" width="12.5703125" customWidth="1"/>
    <col min="9" max="9" width="0.42578125" customWidth="1"/>
  </cols>
  <sheetData>
    <row r="1" spans="1:17" ht="21">
      <c r="A1" s="380" t="s">
        <v>80</v>
      </c>
      <c r="B1" s="380"/>
      <c r="C1" s="380"/>
      <c r="D1" s="380"/>
      <c r="E1" s="380"/>
      <c r="F1" s="380"/>
      <c r="G1" s="380"/>
      <c r="H1" s="380"/>
      <c r="I1" s="380"/>
      <c r="J1" s="226"/>
      <c r="K1" s="226"/>
      <c r="L1" s="226"/>
      <c r="M1" s="226"/>
      <c r="N1" s="226"/>
      <c r="O1" s="226"/>
      <c r="P1" s="226"/>
      <c r="Q1" s="226"/>
    </row>
    <row r="2" spans="1:17" ht="21">
      <c r="A2" s="380" t="s">
        <v>44</v>
      </c>
      <c r="B2" s="380"/>
      <c r="C2" s="380"/>
      <c r="D2" s="380"/>
      <c r="E2" s="380"/>
      <c r="F2" s="380"/>
      <c r="G2" s="380"/>
      <c r="H2" s="380"/>
      <c r="I2" s="380"/>
      <c r="J2" s="226"/>
      <c r="K2" s="226"/>
      <c r="L2" s="226"/>
      <c r="M2" s="226"/>
      <c r="N2" s="226"/>
      <c r="O2" s="226"/>
      <c r="P2" s="226"/>
      <c r="Q2" s="226"/>
    </row>
    <row r="3" spans="1:17" ht="21">
      <c r="A3" s="380" t="str">
        <f>سپرده!A3</f>
        <v>برای ماه منتهی به 1403/09/30</v>
      </c>
      <c r="B3" s="380"/>
      <c r="C3" s="380"/>
      <c r="D3" s="380"/>
      <c r="E3" s="380"/>
      <c r="F3" s="380"/>
      <c r="G3" s="380"/>
      <c r="H3" s="380"/>
      <c r="I3" s="380"/>
      <c r="J3" s="226"/>
      <c r="K3" s="226"/>
      <c r="L3" s="226"/>
      <c r="M3" s="226"/>
      <c r="N3" s="226"/>
      <c r="O3" s="226"/>
      <c r="P3" s="226"/>
      <c r="Q3" s="226"/>
    </row>
    <row r="5" spans="1:17">
      <c r="A5" s="381" t="s">
        <v>211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</row>
    <row r="7" spans="1:17" ht="38.25">
      <c r="A7" s="227" t="s">
        <v>212</v>
      </c>
      <c r="B7" s="227" t="s">
        <v>213</v>
      </c>
      <c r="C7" s="227" t="s">
        <v>214</v>
      </c>
      <c r="D7" s="227" t="s">
        <v>215</v>
      </c>
      <c r="E7" s="227" t="s">
        <v>216</v>
      </c>
      <c r="F7" s="228" t="s">
        <v>217</v>
      </c>
      <c r="G7" s="230" t="s">
        <v>218</v>
      </c>
      <c r="H7" s="228" t="s">
        <v>242</v>
      </c>
    </row>
    <row r="8" spans="1:17" ht="21">
      <c r="A8" s="231" t="s">
        <v>240</v>
      </c>
      <c r="B8" s="231" t="s">
        <v>240</v>
      </c>
      <c r="C8" s="231" t="s">
        <v>241</v>
      </c>
      <c r="D8" s="251">
        <f>[1]اوراق!Y12</f>
        <v>320000</v>
      </c>
      <c r="E8" s="251">
        <f>اوراق!AC11</f>
        <v>320000000000</v>
      </c>
      <c r="F8" s="259">
        <v>41724139344</v>
      </c>
      <c r="G8" s="252">
        <v>0.23</v>
      </c>
      <c r="H8" s="252">
        <v>0.39</v>
      </c>
    </row>
    <row r="9" spans="1:17" ht="21">
      <c r="A9" s="231" t="s">
        <v>240</v>
      </c>
      <c r="B9" s="231" t="s">
        <v>240</v>
      </c>
      <c r="C9" s="231" t="s">
        <v>317</v>
      </c>
      <c r="D9" s="251">
        <f>[1]اوراق!Y13</f>
        <v>200000</v>
      </c>
      <c r="E9" s="251">
        <f>اوراق!AC12</f>
        <v>211031593750</v>
      </c>
      <c r="F9" s="259">
        <v>3081853351</v>
      </c>
      <c r="G9" s="252">
        <v>0.26</v>
      </c>
      <c r="H9" s="276">
        <v>0.38700000000000001</v>
      </c>
    </row>
    <row r="10" spans="1:17" ht="17.25">
      <c r="A10" s="373" t="s">
        <v>234</v>
      </c>
      <c r="B10" s="373"/>
      <c r="C10" s="373"/>
      <c r="D10" s="373"/>
      <c r="E10" s="373"/>
      <c r="F10" s="373"/>
    </row>
    <row r="20" spans="1:1">
      <c r="A20" t="s">
        <v>235</v>
      </c>
    </row>
    <row r="53" spans="34:34">
      <c r="AH53" t="s">
        <v>236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3"/>
  <sheetViews>
    <sheetView rightToLeft="1" view="pageBreakPreview" zoomScale="115" zoomScaleNormal="100" zoomScaleSheetLayoutView="115" workbookViewId="0">
      <selection activeCell="E14" sqref="E12:E14"/>
    </sheetView>
  </sheetViews>
  <sheetFormatPr defaultColWidth="9.140625" defaultRowHeight="18"/>
  <cols>
    <col min="1" max="1" width="32.42578125" style="131" customWidth="1"/>
    <col min="2" max="2" width="1.42578125" style="131" customWidth="1"/>
    <col min="3" max="3" width="17.7109375" style="131" bestFit="1" customWidth="1"/>
    <col min="4" max="4" width="0.85546875" style="131" customWidth="1"/>
    <col min="5" max="5" width="18.140625" style="131" customWidth="1"/>
    <col min="6" max="6" width="16.5703125" style="131" customWidth="1"/>
    <col min="7" max="16384" width="9.140625" style="131"/>
  </cols>
  <sheetData>
    <row r="1" spans="1:6" s="178" customFormat="1" ht="18.75">
      <c r="A1" s="325" t="s">
        <v>80</v>
      </c>
      <c r="B1" s="325"/>
      <c r="C1" s="325"/>
      <c r="D1" s="325"/>
      <c r="E1" s="325"/>
    </row>
    <row r="2" spans="1:6" s="178" customFormat="1" ht="18.75">
      <c r="A2" s="325" t="s">
        <v>50</v>
      </c>
      <c r="B2" s="325"/>
      <c r="C2" s="325"/>
      <c r="D2" s="325"/>
      <c r="E2" s="325"/>
    </row>
    <row r="3" spans="1:6" s="178" customFormat="1" ht="18.75">
      <c r="A3" s="325" t="str">
        <f>' سهام'!A3:W3</f>
        <v>برای ماه منتهی به 1403/09/30</v>
      </c>
      <c r="B3" s="325"/>
      <c r="C3" s="325"/>
      <c r="D3" s="325"/>
      <c r="E3" s="325"/>
    </row>
    <row r="4" spans="1:6" ht="18.75">
      <c r="A4" s="328" t="s">
        <v>328</v>
      </c>
      <c r="B4" s="328"/>
      <c r="C4" s="328"/>
      <c r="D4" s="328"/>
      <c r="E4" s="328"/>
    </row>
    <row r="5" spans="1:6" ht="49.5" customHeight="1" thickBot="1">
      <c r="A5" s="169"/>
      <c r="B5" s="170"/>
      <c r="C5" s="179" t="s">
        <v>292</v>
      </c>
      <c r="D5" s="135"/>
      <c r="E5" s="179" t="s">
        <v>295</v>
      </c>
    </row>
    <row r="6" spans="1:6" ht="18.75">
      <c r="A6" s="369"/>
      <c r="B6" s="370"/>
      <c r="C6" s="366" t="s">
        <v>6</v>
      </c>
      <c r="D6" s="171"/>
      <c r="E6" s="366" t="s">
        <v>6</v>
      </c>
    </row>
    <row r="7" spans="1:6" ht="18.75" thickBot="1">
      <c r="A7" s="370"/>
      <c r="B7" s="370"/>
      <c r="C7" s="368"/>
      <c r="D7" s="173"/>
      <c r="E7" s="368"/>
    </row>
    <row r="8" spans="1:6" ht="25.9" customHeight="1">
      <c r="A8" s="180" t="s">
        <v>108</v>
      </c>
      <c r="B8" s="7"/>
      <c r="C8" s="210">
        <v>0</v>
      </c>
      <c r="D8" s="66"/>
      <c r="E8" s="66">
        <v>17958671</v>
      </c>
      <c r="F8" s="207"/>
    </row>
    <row r="9" spans="1:6" ht="19.5" thickBot="1">
      <c r="A9" s="171" t="s">
        <v>2</v>
      </c>
      <c r="B9" s="245"/>
      <c r="C9" s="407">
        <f>SUM(C8:C8)</f>
        <v>0</v>
      </c>
      <c r="D9" s="408"/>
      <c r="E9" s="409">
        <f>SUM(E8:E8)</f>
        <v>17958671</v>
      </c>
    </row>
    <row r="10" spans="1:6" ht="18.75" thickTop="1">
      <c r="D10" s="66"/>
    </row>
    <row r="12" spans="1:6">
      <c r="E12" s="207"/>
    </row>
    <row r="13" spans="1:6">
      <c r="E13" s="140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O6" sqref="O6:S6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65" t="s">
        <v>80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22.5">
      <c r="A2" s="365" t="s">
        <v>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</row>
    <row r="3" spans="1:19" ht="22.5">
      <c r="A3" s="365" t="s">
        <v>290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</row>
    <row r="4" spans="1:19" ht="22.5">
      <c r="A4" s="384" t="s">
        <v>68</v>
      </c>
      <c r="B4" s="384"/>
      <c r="C4" s="384"/>
      <c r="D4" s="384"/>
      <c r="E4" s="384"/>
      <c r="F4" s="384"/>
      <c r="G4" s="384"/>
      <c r="H4" s="384"/>
      <c r="I4" s="385"/>
      <c r="J4" s="385"/>
      <c r="K4" s="385"/>
      <c r="L4" s="385"/>
      <c r="M4" s="385"/>
      <c r="N4" s="385"/>
      <c r="O4" s="385"/>
      <c r="P4" s="385"/>
      <c r="Q4" s="384"/>
      <c r="R4" s="384"/>
      <c r="S4" s="384"/>
    </row>
    <row r="6" spans="1:19" ht="18.75">
      <c r="C6" s="382" t="s">
        <v>69</v>
      </c>
      <c r="D6" s="383"/>
      <c r="E6" s="383"/>
      <c r="F6" s="383"/>
      <c r="G6" s="383"/>
      <c r="I6" s="382" t="s">
        <v>318</v>
      </c>
      <c r="J6" s="383"/>
      <c r="K6" s="383"/>
      <c r="L6" s="383"/>
      <c r="M6" s="383"/>
      <c r="O6" s="382" t="s">
        <v>294</v>
      </c>
      <c r="P6" s="383"/>
      <c r="Q6" s="383"/>
      <c r="R6" s="383"/>
      <c r="S6" s="383"/>
    </row>
    <row r="7" spans="1:19" ht="56.25">
      <c r="A7" s="17" t="s">
        <v>70</v>
      </c>
      <c r="C7" s="14" t="s">
        <v>71</v>
      </c>
      <c r="E7" s="14" t="s">
        <v>72</v>
      </c>
      <c r="G7" s="14" t="s">
        <v>73</v>
      </c>
      <c r="I7" s="14" t="s">
        <v>74</v>
      </c>
      <c r="K7" s="14" t="s">
        <v>75</v>
      </c>
      <c r="M7" s="14" t="s">
        <v>76</v>
      </c>
      <c r="O7" s="14" t="s">
        <v>74</v>
      </c>
      <c r="Q7" s="14" t="s">
        <v>75</v>
      </c>
      <c r="S7" s="14" t="s">
        <v>76</v>
      </c>
    </row>
    <row r="8" spans="1:19" ht="21.75">
      <c r="A8" s="61" t="s">
        <v>82</v>
      </c>
      <c r="B8" s="13"/>
      <c r="C8" s="21" t="s">
        <v>81</v>
      </c>
      <c r="D8" s="8"/>
      <c r="E8" s="21" t="s">
        <v>81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77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Y19"/>
  <sheetViews>
    <sheetView rightToLeft="1" view="pageBreakPreview" zoomScale="85" zoomScaleNormal="100" zoomScaleSheetLayoutView="85" workbookViewId="0">
      <selection sqref="A1:Q1"/>
    </sheetView>
  </sheetViews>
  <sheetFormatPr defaultColWidth="9.140625" defaultRowHeight="17.25"/>
  <cols>
    <col min="1" max="1" width="44.7109375" style="7" customWidth="1"/>
    <col min="2" max="2" width="1.28515625" style="7" customWidth="1"/>
    <col min="3" max="3" width="15.42578125" style="7" customWidth="1"/>
    <col min="4" max="4" width="0.85546875" style="7" customWidth="1"/>
    <col min="5" max="5" width="23.85546875" style="79" customWidth="1"/>
    <col min="6" max="6" width="0.5703125" style="79" customWidth="1"/>
    <col min="7" max="7" width="24.7109375" style="79" customWidth="1"/>
    <col min="8" max="8" width="0.85546875" style="79" customWidth="1"/>
    <col min="9" max="9" width="26" style="80" customWidth="1"/>
    <col min="10" max="10" width="0.5703125" style="80" customWidth="1"/>
    <col min="11" max="11" width="15.5703125" style="80" customWidth="1"/>
    <col min="12" max="12" width="0.42578125" style="80" customWidth="1"/>
    <col min="13" max="13" width="22.28515625" style="80" customWidth="1"/>
    <col min="14" max="14" width="0.42578125" style="80" customWidth="1"/>
    <col min="15" max="15" width="22.28515625" style="80" customWidth="1"/>
    <col min="16" max="16" width="0.5703125" style="80" customWidth="1"/>
    <col min="17" max="17" width="23.28515625" style="80" customWidth="1"/>
    <col min="18" max="18" width="16.85546875" style="7" hidden="1" customWidth="1"/>
    <col min="19" max="19" width="16.42578125" style="7" hidden="1" customWidth="1"/>
    <col min="20" max="20" width="18.85546875" style="7" hidden="1" customWidth="1"/>
    <col min="21" max="21" width="13.5703125" style="7" hidden="1" customWidth="1"/>
    <col min="22" max="22" width="14.85546875" style="7" hidden="1" customWidth="1"/>
    <col min="23" max="23" width="0" style="7" hidden="1" customWidth="1"/>
    <col min="24" max="24" width="18.42578125" style="7" hidden="1" customWidth="1"/>
    <col min="25" max="25" width="0" style="7" hidden="1" customWidth="1"/>
    <col min="26" max="16384" width="9.140625" style="7"/>
  </cols>
  <sheetData>
    <row r="1" spans="1:25" ht="22.5">
      <c r="A1" s="365" t="s">
        <v>80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25" ht="22.5">
      <c r="A2" s="365" t="s">
        <v>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</row>
    <row r="3" spans="1:25" ht="22.5">
      <c r="A3" s="365" t="str">
        <f>' سهام'!A3:W3</f>
        <v>برای ماه منتهی به 1403/09/30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4" spans="1:25" ht="22.5">
      <c r="A4" s="384" t="s">
        <v>57</v>
      </c>
      <c r="B4" s="384"/>
      <c r="C4" s="384"/>
      <c r="D4" s="384"/>
      <c r="E4" s="384"/>
      <c r="F4" s="384"/>
      <c r="G4" s="384"/>
      <c r="H4" s="384"/>
      <c r="I4" s="384"/>
      <c r="J4" s="391"/>
      <c r="K4" s="391"/>
      <c r="L4" s="391"/>
      <c r="M4" s="391"/>
      <c r="N4" s="391"/>
      <c r="O4" s="391"/>
      <c r="P4" s="391"/>
      <c r="Q4" s="391"/>
    </row>
    <row r="5" spans="1:25" ht="21" customHeight="1" thickBot="1">
      <c r="A5" s="105"/>
      <c r="B5" s="105"/>
      <c r="C5" s="389" t="s">
        <v>292</v>
      </c>
      <c r="D5" s="389"/>
      <c r="E5" s="389"/>
      <c r="F5" s="389"/>
      <c r="G5" s="389"/>
      <c r="H5" s="389"/>
      <c r="I5" s="389"/>
      <c r="J5" s="12"/>
      <c r="K5" s="390" t="s">
        <v>293</v>
      </c>
      <c r="L5" s="390"/>
      <c r="M5" s="390"/>
      <c r="N5" s="390"/>
      <c r="O5" s="390"/>
      <c r="P5" s="390"/>
      <c r="Q5" s="390"/>
    </row>
    <row r="6" spans="1:25" ht="22.5" thickBot="1">
      <c r="A6" s="186" t="s">
        <v>32</v>
      </c>
      <c r="B6" s="186"/>
      <c r="C6" s="187" t="s">
        <v>3</v>
      </c>
      <c r="D6" s="186"/>
      <c r="E6" s="188" t="s">
        <v>39</v>
      </c>
      <c r="F6" s="76"/>
      <c r="G6" s="189" t="s">
        <v>36</v>
      </c>
      <c r="H6" s="76"/>
      <c r="I6" s="85" t="s">
        <v>40</v>
      </c>
      <c r="J6" s="12"/>
      <c r="K6" s="84" t="s">
        <v>3</v>
      </c>
      <c r="L6" s="77"/>
      <c r="M6" s="85" t="s">
        <v>39</v>
      </c>
      <c r="N6" s="77"/>
      <c r="O6" s="84" t="s">
        <v>36</v>
      </c>
      <c r="P6" s="77"/>
      <c r="Q6" s="190" t="s">
        <v>40</v>
      </c>
      <c r="T6" s="257"/>
    </row>
    <row r="7" spans="1:25" ht="21.75">
      <c r="A7" s="256" t="s">
        <v>281</v>
      </c>
      <c r="B7" s="186"/>
      <c r="C7" s="185">
        <v>0</v>
      </c>
      <c r="D7" s="246"/>
      <c r="E7" s="185">
        <v>0</v>
      </c>
      <c r="F7" s="69"/>
      <c r="G7" s="78">
        <v>0</v>
      </c>
      <c r="H7" s="76"/>
      <c r="I7" s="69">
        <f>E7+G7</f>
        <v>0</v>
      </c>
      <c r="J7" s="12"/>
      <c r="K7" s="87">
        <v>4339</v>
      </c>
      <c r="L7" s="77"/>
      <c r="M7" s="78">
        <v>1003229792</v>
      </c>
      <c r="N7" s="78"/>
      <c r="O7" s="78">
        <v>-1003077348</v>
      </c>
      <c r="P7" s="202"/>
      <c r="Q7" s="69">
        <f>M7+O7</f>
        <v>152444</v>
      </c>
      <c r="R7" s="158" t="s">
        <v>259</v>
      </c>
      <c r="S7" s="158" t="s">
        <v>260</v>
      </c>
      <c r="T7" s="158" t="s">
        <v>267</v>
      </c>
      <c r="U7" s="158" t="s">
        <v>268</v>
      </c>
      <c r="X7" s="7">
        <v>-123385340</v>
      </c>
      <c r="Y7" s="158">
        <f>X7-Q7</f>
        <v>-123537784</v>
      </c>
    </row>
    <row r="8" spans="1:25" ht="21.75">
      <c r="A8" s="256" t="s">
        <v>112</v>
      </c>
      <c r="B8" s="186"/>
      <c r="C8" s="185">
        <v>0</v>
      </c>
      <c r="D8" s="246"/>
      <c r="E8" s="185">
        <f>IFERROR(VLOOKUP(A11,اوراق!$A$9:$AG$13,23,0),0)</f>
        <v>0</v>
      </c>
      <c r="F8" s="69"/>
      <c r="G8" s="78">
        <v>0</v>
      </c>
      <c r="H8" s="76"/>
      <c r="I8" s="69">
        <f t="shared" ref="I8:I16" si="0">E8+G8</f>
        <v>0</v>
      </c>
      <c r="J8" s="12"/>
      <c r="K8" s="87">
        <v>198700</v>
      </c>
      <c r="L8" s="77"/>
      <c r="M8" s="78">
        <v>192395802792</v>
      </c>
      <c r="N8" s="78"/>
      <c r="O8" s="78">
        <v>-192519188132</v>
      </c>
      <c r="P8" s="202"/>
      <c r="Q8" s="69">
        <f t="shared" ref="Q8:Q16" si="1">M8+O8</f>
        <v>-123385340</v>
      </c>
      <c r="R8" s="158" t="s">
        <v>269</v>
      </c>
      <c r="S8" s="158">
        <v>132610</v>
      </c>
      <c r="T8" s="158">
        <v>120006308608</v>
      </c>
      <c r="U8" s="158">
        <v>11817330575</v>
      </c>
      <c r="V8" s="158">
        <f>T8-U8</f>
        <v>108188978033</v>
      </c>
      <c r="X8" s="7">
        <v>-1010445125</v>
      </c>
      <c r="Y8" s="158">
        <f t="shared" ref="Y8:Y16" si="2">X8-Q8</f>
        <v>-887059785</v>
      </c>
    </row>
    <row r="9" spans="1:25" ht="21.75">
      <c r="A9" s="256" t="s">
        <v>120</v>
      </c>
      <c r="B9" s="186"/>
      <c r="C9" s="185">
        <v>80000</v>
      </c>
      <c r="D9" s="246"/>
      <c r="E9" s="185">
        <f>IFERROR(VLOOKUP(A9,اوراق!$A$9:$AG$13,23,0),0)</f>
        <v>79599500000</v>
      </c>
      <c r="F9" s="69"/>
      <c r="G9" s="78">
        <v>-78304234806</v>
      </c>
      <c r="H9" s="76"/>
      <c r="I9" s="69">
        <f t="shared" si="0"/>
        <v>1295265194</v>
      </c>
      <c r="J9" s="12"/>
      <c r="K9" s="87">
        <v>260000</v>
      </c>
      <c r="L9" s="77"/>
      <c r="M9" s="78">
        <v>263359907151</v>
      </c>
      <c r="N9" s="78"/>
      <c r="O9" s="78">
        <v>-262673159946</v>
      </c>
      <c r="P9" s="202"/>
      <c r="Q9" s="69">
        <f t="shared" si="1"/>
        <v>686747205</v>
      </c>
      <c r="R9" s="158" t="s">
        <v>270</v>
      </c>
      <c r="S9" s="158">
        <v>32000</v>
      </c>
      <c r="T9" s="158">
        <v>22776670980</v>
      </c>
      <c r="U9" s="158">
        <v>3006759337</v>
      </c>
      <c r="V9" s="158">
        <f>T9-U9</f>
        <v>19769911643</v>
      </c>
      <c r="X9" s="7">
        <v>-78000000</v>
      </c>
      <c r="Y9" s="158">
        <f t="shared" si="2"/>
        <v>-764747205</v>
      </c>
    </row>
    <row r="10" spans="1:25" ht="21.75">
      <c r="A10" s="256" t="s">
        <v>134</v>
      </c>
      <c r="B10" s="186"/>
      <c r="C10" s="185">
        <v>0</v>
      </c>
      <c r="D10" s="246"/>
      <c r="E10" s="185">
        <f>IFERROR(VLOOKUP(A10,اوراق!$A$9:$AG$13,23,0),0)</f>
        <v>0</v>
      </c>
      <c r="F10" s="69"/>
      <c r="G10" s="78">
        <v>0</v>
      </c>
      <c r="H10" s="76"/>
      <c r="I10" s="69">
        <f t="shared" si="0"/>
        <v>0</v>
      </c>
      <c r="J10" s="12"/>
      <c r="K10" s="87">
        <v>380000</v>
      </c>
      <c r="L10" s="77"/>
      <c r="M10" s="78">
        <v>409299670616</v>
      </c>
      <c r="N10" s="78"/>
      <c r="O10" s="78">
        <v>-409377670616</v>
      </c>
      <c r="P10" s="202"/>
      <c r="Q10" s="69">
        <f>M10+O10</f>
        <v>-78000000</v>
      </c>
      <c r="R10" s="158" t="s">
        <v>271</v>
      </c>
      <c r="S10" s="158">
        <v>482800</v>
      </c>
      <c r="T10" s="158">
        <v>342075921791</v>
      </c>
      <c r="U10" s="158">
        <v>26923583029</v>
      </c>
      <c r="V10" s="158">
        <f t="shared" ref="V10:V16" si="3">T10-U10</f>
        <v>315152338762</v>
      </c>
      <c r="X10" s="7">
        <v>3876077656</v>
      </c>
      <c r="Y10" s="158">
        <f t="shared" si="2"/>
        <v>3954077656</v>
      </c>
    </row>
    <row r="11" spans="1:25" ht="21.75">
      <c r="A11" s="256" t="s">
        <v>100</v>
      </c>
      <c r="B11" s="186"/>
      <c r="C11" s="185">
        <v>0</v>
      </c>
      <c r="D11" s="246"/>
      <c r="E11" s="185">
        <f>IFERROR(VLOOKUP(A11,اوراق!$A$9:$AG$13,23,0),0)</f>
        <v>0</v>
      </c>
      <c r="F11" s="69"/>
      <c r="G11" s="78">
        <v>0</v>
      </c>
      <c r="H11" s="76"/>
      <c r="I11" s="69">
        <f t="shared" si="0"/>
        <v>0</v>
      </c>
      <c r="J11" s="12"/>
      <c r="K11" s="87">
        <v>500000</v>
      </c>
      <c r="L11" s="77"/>
      <c r="M11" s="78">
        <v>509910821554</v>
      </c>
      <c r="N11" s="78"/>
      <c r="O11" s="78">
        <v>-486503898100</v>
      </c>
      <c r="P11" s="202"/>
      <c r="Q11" s="69">
        <f t="shared" si="1"/>
        <v>23406923454</v>
      </c>
      <c r="R11" s="158" t="s">
        <v>272</v>
      </c>
      <c r="S11" s="158">
        <v>150000</v>
      </c>
      <c r="T11" s="158">
        <v>152303492193</v>
      </c>
      <c r="U11" s="158">
        <v>-1010445125</v>
      </c>
      <c r="V11" s="158">
        <f t="shared" si="3"/>
        <v>153313937318</v>
      </c>
      <c r="X11" s="7">
        <v>19836866289</v>
      </c>
      <c r="Y11" s="158">
        <f t="shared" si="2"/>
        <v>-3570057165</v>
      </c>
    </row>
    <row r="12" spans="1:25" ht="21.75">
      <c r="A12" s="256" t="s">
        <v>113</v>
      </c>
      <c r="B12" s="186"/>
      <c r="C12" s="185">
        <v>0</v>
      </c>
      <c r="D12" s="246"/>
      <c r="E12" s="185">
        <f>IFERROR(VLOOKUP(A12,اوراق!$A$9:$AG$13,23,0),0)</f>
        <v>0</v>
      </c>
      <c r="F12" s="69"/>
      <c r="G12" s="78">
        <v>0</v>
      </c>
      <c r="H12" s="76"/>
      <c r="I12" s="69">
        <f t="shared" ref="I12" si="4">E12+G12</f>
        <v>0</v>
      </c>
      <c r="J12" s="12"/>
      <c r="K12" s="87">
        <v>723000</v>
      </c>
      <c r="L12" s="77"/>
      <c r="M12" s="78">
        <v>771577949994</v>
      </c>
      <c r="N12" s="78"/>
      <c r="O12" s="78">
        <v>-751741083705</v>
      </c>
      <c r="P12" s="202"/>
      <c r="Q12" s="69">
        <f t="shared" ref="Q12" si="5">M12+O12</f>
        <v>19836866289</v>
      </c>
      <c r="R12" s="158" t="s">
        <v>273</v>
      </c>
      <c r="S12" s="158">
        <v>198700</v>
      </c>
      <c r="T12" s="158">
        <v>192395802792</v>
      </c>
      <c r="U12" s="158">
        <v>-123385340</v>
      </c>
      <c r="V12" s="158">
        <f t="shared" ref="V12" si="6">T12-U12</f>
        <v>192519188132</v>
      </c>
      <c r="X12" s="7">
        <v>-56500000</v>
      </c>
      <c r="Y12" s="158">
        <f t="shared" ref="Y12" si="7">X12-Q12</f>
        <v>-19893366289</v>
      </c>
    </row>
    <row r="13" spans="1:25" ht="21.75">
      <c r="A13" s="256" t="s">
        <v>188</v>
      </c>
      <c r="B13" s="186"/>
      <c r="C13" s="185">
        <v>0</v>
      </c>
      <c r="D13" s="246"/>
      <c r="E13" s="185">
        <f>IFERROR(VLOOKUP(A13,اوراق!$A$9:$AG$13,23,0),0)</f>
        <v>0</v>
      </c>
      <c r="F13" s="69"/>
      <c r="G13" s="78">
        <v>0</v>
      </c>
      <c r="H13" s="76"/>
      <c r="I13" s="69">
        <f t="shared" si="0"/>
        <v>0</v>
      </c>
      <c r="J13" s="12"/>
      <c r="K13" s="87">
        <v>680000</v>
      </c>
      <c r="L13" s="77"/>
      <c r="M13" s="78">
        <v>705201062821</v>
      </c>
      <c r="N13" s="78"/>
      <c r="O13" s="78">
        <v>-694289156571</v>
      </c>
      <c r="P13" s="202"/>
      <c r="Q13" s="69">
        <f t="shared" si="1"/>
        <v>10911906250</v>
      </c>
      <c r="R13" s="158" t="s">
        <v>273</v>
      </c>
      <c r="S13" s="158">
        <v>198700</v>
      </c>
      <c r="T13" s="158">
        <v>192395802792</v>
      </c>
      <c r="U13" s="158">
        <v>-123385340</v>
      </c>
      <c r="V13" s="158">
        <f t="shared" si="3"/>
        <v>192519188132</v>
      </c>
      <c r="X13" s="7">
        <v>-56500000</v>
      </c>
      <c r="Y13" s="158">
        <f t="shared" si="2"/>
        <v>-10968406250</v>
      </c>
    </row>
    <row r="14" spans="1:25" ht="21.75">
      <c r="A14" s="256" t="s">
        <v>157</v>
      </c>
      <c r="B14" s="186"/>
      <c r="C14" s="185">
        <v>0</v>
      </c>
      <c r="D14" s="246"/>
      <c r="E14" s="185">
        <f>IFERROR(VLOOKUP(A14,اوراق!$A$9:$AG$13,23,0),0)</f>
        <v>0</v>
      </c>
      <c r="F14" s="69"/>
      <c r="G14" s="78">
        <v>0</v>
      </c>
      <c r="H14" s="76"/>
      <c r="I14" s="69">
        <f t="shared" si="0"/>
        <v>0</v>
      </c>
      <c r="J14" s="12"/>
      <c r="K14" s="87">
        <v>327000</v>
      </c>
      <c r="L14" s="77"/>
      <c r="M14" s="78">
        <v>306705357854</v>
      </c>
      <c r="N14" s="78"/>
      <c r="O14" s="78">
        <v>-266780754219</v>
      </c>
      <c r="P14" s="202"/>
      <c r="Q14" s="69">
        <f t="shared" si="1"/>
        <v>39924603635</v>
      </c>
      <c r="R14" s="158" t="s">
        <v>274</v>
      </c>
      <c r="S14" s="158">
        <v>155000</v>
      </c>
      <c r="T14" s="158">
        <v>150667537709</v>
      </c>
      <c r="U14" s="158">
        <v>3876077656</v>
      </c>
      <c r="V14" s="158">
        <f t="shared" si="3"/>
        <v>146791460053</v>
      </c>
      <c r="X14" s="7">
        <v>11817330575</v>
      </c>
      <c r="Y14" s="158">
        <f t="shared" si="2"/>
        <v>-28107273060</v>
      </c>
    </row>
    <row r="15" spans="1:25" ht="21.75">
      <c r="A15" s="256" t="s">
        <v>158</v>
      </c>
      <c r="B15" s="186"/>
      <c r="C15" s="185">
        <v>0</v>
      </c>
      <c r="D15" s="246"/>
      <c r="E15" s="185">
        <f>IFERROR(VLOOKUP(A15,اوراق!$A$9:$AG$13,23,0),0)</f>
        <v>0</v>
      </c>
      <c r="F15" s="69"/>
      <c r="G15" s="78">
        <v>0</v>
      </c>
      <c r="H15" s="76"/>
      <c r="I15" s="69">
        <f t="shared" si="0"/>
        <v>0</v>
      </c>
      <c r="J15" s="12"/>
      <c r="K15" s="87">
        <v>482800</v>
      </c>
      <c r="L15" s="77"/>
      <c r="M15" s="78">
        <v>342075921791</v>
      </c>
      <c r="N15" s="78"/>
      <c r="O15" s="78">
        <v>-315152338763</v>
      </c>
      <c r="P15" s="202"/>
      <c r="Q15" s="69">
        <f t="shared" si="1"/>
        <v>26923583028</v>
      </c>
      <c r="R15" s="158" t="s">
        <v>275</v>
      </c>
      <c r="S15" s="158">
        <v>723000</v>
      </c>
      <c r="T15" s="158">
        <v>771577949994</v>
      </c>
      <c r="U15" s="158">
        <v>19836866289</v>
      </c>
      <c r="V15" s="158">
        <f t="shared" si="3"/>
        <v>751741083705</v>
      </c>
      <c r="X15" s="7">
        <v>26923583025</v>
      </c>
      <c r="Y15" s="158">
        <f t="shared" si="2"/>
        <v>-3</v>
      </c>
    </row>
    <row r="16" spans="1:25" ht="21.75">
      <c r="A16" s="256" t="s">
        <v>133</v>
      </c>
      <c r="B16" s="186"/>
      <c r="C16" s="185">
        <v>0</v>
      </c>
      <c r="D16" s="246"/>
      <c r="E16" s="185">
        <f>IFERROR(VLOOKUP(A16,اوراق!$A$9:$AG$13,23,0),0)</f>
        <v>0</v>
      </c>
      <c r="F16" s="69"/>
      <c r="G16" s="185">
        <v>0</v>
      </c>
      <c r="H16" s="76"/>
      <c r="I16" s="69">
        <f t="shared" si="0"/>
        <v>0</v>
      </c>
      <c r="J16" s="12"/>
      <c r="K16" s="87">
        <v>32000</v>
      </c>
      <c r="L16" s="77"/>
      <c r="M16" s="78">
        <v>22776670980</v>
      </c>
      <c r="N16" s="78"/>
      <c r="O16" s="78">
        <v>-19769911643</v>
      </c>
      <c r="P16" s="202"/>
      <c r="Q16" s="69">
        <f t="shared" si="1"/>
        <v>3006759337</v>
      </c>
      <c r="R16" s="158" t="s">
        <v>276</v>
      </c>
      <c r="S16" s="158">
        <v>480000</v>
      </c>
      <c r="T16" s="158">
        <v>485102916509</v>
      </c>
      <c r="U16" s="158">
        <v>-56500000</v>
      </c>
      <c r="V16" s="158">
        <f t="shared" si="3"/>
        <v>485159416509</v>
      </c>
      <c r="X16" s="7">
        <v>3006759337</v>
      </c>
      <c r="Y16" s="158">
        <f t="shared" si="2"/>
        <v>0</v>
      </c>
    </row>
    <row r="17" spans="1:22" ht="23.25" thickBot="1">
      <c r="C17" s="410"/>
      <c r="D17" s="403"/>
      <c r="E17" s="264">
        <f>SUM(E7:E16)</f>
        <v>79599500000</v>
      </c>
      <c r="F17" s="403"/>
      <c r="G17" s="264">
        <f>SUM(G7:G16)</f>
        <v>-78304234806</v>
      </c>
      <c r="H17" s="403"/>
      <c r="I17" s="264">
        <f>SUM(I7:I16)</f>
        <v>1295265194</v>
      </c>
      <c r="J17" s="403"/>
      <c r="K17" s="411"/>
      <c r="L17" s="403"/>
      <c r="M17" s="255">
        <f>SUM(M7:M16)</f>
        <v>3524306395345</v>
      </c>
      <c r="N17" s="403"/>
      <c r="O17" s="255">
        <f>SUM(O7:O16)</f>
        <v>-3399810239043</v>
      </c>
      <c r="P17" s="403"/>
      <c r="Q17" s="264">
        <f>SUM(Q7:Q16)</f>
        <v>124496156302</v>
      </c>
      <c r="R17" s="158" t="s">
        <v>277</v>
      </c>
      <c r="S17" s="158">
        <v>380000</v>
      </c>
      <c r="T17" s="158">
        <v>409299670616</v>
      </c>
      <c r="U17" s="7">
        <v>-78000000</v>
      </c>
      <c r="V17" s="158">
        <f>T17-U17</f>
        <v>409377670616</v>
      </c>
    </row>
    <row r="18" spans="1:22" ht="20.25" customHeight="1" thickTop="1">
      <c r="A18" s="105"/>
      <c r="B18" s="105"/>
      <c r="C18" s="105"/>
      <c r="D18" s="105"/>
      <c r="E18" s="70"/>
      <c r="F18" s="70"/>
      <c r="G18" s="70"/>
      <c r="H18" s="70"/>
      <c r="I18" s="12"/>
      <c r="J18" s="12"/>
      <c r="K18" s="12"/>
      <c r="L18" s="12"/>
      <c r="M18" s="12"/>
      <c r="N18" s="12"/>
      <c r="O18" s="12"/>
      <c r="P18" s="12"/>
      <c r="Q18" s="12"/>
      <c r="R18" s="158"/>
      <c r="S18" s="158">
        <f>SUM(S8:S17)</f>
        <v>2932810</v>
      </c>
      <c r="T18" s="158">
        <f>SUM(T8:T17)</f>
        <v>2838602073984</v>
      </c>
      <c r="U18" s="158">
        <f>SUM(U8:U17)</f>
        <v>64068901081</v>
      </c>
      <c r="V18" s="158">
        <f>SUM(V8:V17)</f>
        <v>2774533172903</v>
      </c>
    </row>
    <row r="19" spans="1:22" ht="21.75">
      <c r="A19" s="386" t="s">
        <v>38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8"/>
      <c r="R19" s="158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9:Q19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3"/>
  <sheetViews>
    <sheetView rightToLeft="1" view="pageBreakPreview" topLeftCell="B1" zoomScale="85" zoomScaleNormal="100" zoomScaleSheetLayoutView="85" workbookViewId="0">
      <selection activeCell="R1" sqref="R1:V1048576"/>
    </sheetView>
  </sheetViews>
  <sheetFormatPr defaultColWidth="9.140625" defaultRowHeight="21.75"/>
  <cols>
    <col min="1" max="1" width="31.5703125" style="7" customWidth="1"/>
    <col min="2" max="2" width="0.5703125" style="7" customWidth="1"/>
    <col min="3" max="3" width="12.7109375" style="12" customWidth="1"/>
    <col min="4" max="4" width="0.85546875" style="12" customWidth="1"/>
    <col min="5" max="5" width="22" style="12" customWidth="1"/>
    <col min="6" max="6" width="0.85546875" style="12" customWidth="1"/>
    <col min="7" max="7" width="26.42578125" style="12" customWidth="1"/>
    <col min="8" max="8" width="0.7109375" style="12" customWidth="1"/>
    <col min="9" max="9" width="26.28515625" style="12" customWidth="1"/>
    <col min="10" max="10" width="1.42578125" style="12" customWidth="1"/>
    <col min="11" max="11" width="11.85546875" style="12" customWidth="1"/>
    <col min="12" max="12" width="1.140625" style="12" customWidth="1"/>
    <col min="13" max="13" width="26.140625" style="12" customWidth="1"/>
    <col min="14" max="14" width="1" style="12" customWidth="1"/>
    <col min="15" max="15" width="27.28515625" style="12" customWidth="1"/>
    <col min="16" max="16" width="1.140625" style="12" customWidth="1"/>
    <col min="17" max="17" width="24.7109375" style="12" customWidth="1"/>
    <col min="18" max="16384" width="9.140625" style="7"/>
  </cols>
  <sheetData>
    <row r="1" spans="1:17" ht="22.5">
      <c r="A1" s="365" t="s">
        <v>80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17" ht="22.5">
      <c r="A2" s="365" t="s">
        <v>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</row>
    <row r="3" spans="1:17" ht="22.5">
      <c r="A3" s="365" t="str">
        <f>' سهام'!A3:W3</f>
        <v>برای ماه منتهی به 1403/09/30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4" spans="1:17">
      <c r="A4" s="328" t="s">
        <v>56</v>
      </c>
      <c r="B4" s="328"/>
      <c r="C4" s="328"/>
      <c r="D4" s="328"/>
      <c r="E4" s="328"/>
      <c r="F4" s="328"/>
      <c r="G4" s="328"/>
      <c r="H4" s="328"/>
    </row>
    <row r="5" spans="1:17" s="168" customFormat="1" ht="16.5" customHeight="1" thickBot="1">
      <c r="A5" s="145"/>
      <c r="B5" s="145"/>
      <c r="C5" s="395" t="s">
        <v>292</v>
      </c>
      <c r="D5" s="395"/>
      <c r="E5" s="395"/>
      <c r="F5" s="395"/>
      <c r="G5" s="395"/>
      <c r="H5" s="395"/>
      <c r="I5" s="395"/>
      <c r="J5" s="77"/>
      <c r="K5" s="390" t="s">
        <v>294</v>
      </c>
      <c r="L5" s="390"/>
      <c r="M5" s="390"/>
      <c r="N5" s="390"/>
      <c r="O5" s="390"/>
      <c r="P5" s="390"/>
      <c r="Q5" s="390"/>
    </row>
    <row r="6" spans="1:17" s="168" customFormat="1" ht="27" customHeight="1" thickBot="1">
      <c r="A6" s="145" t="s">
        <v>32</v>
      </c>
      <c r="B6" s="145"/>
      <c r="C6" s="84" t="s">
        <v>3</v>
      </c>
      <c r="D6" s="77"/>
      <c r="E6" s="85" t="s">
        <v>19</v>
      </c>
      <c r="F6" s="77"/>
      <c r="G6" s="84" t="s">
        <v>36</v>
      </c>
      <c r="H6" s="77"/>
      <c r="I6" s="85" t="s">
        <v>37</v>
      </c>
      <c r="J6" s="77"/>
      <c r="K6" s="84" t="s">
        <v>3</v>
      </c>
      <c r="L6" s="77"/>
      <c r="M6" s="85" t="s">
        <v>19</v>
      </c>
      <c r="N6" s="77"/>
      <c r="O6" s="85" t="s">
        <v>36</v>
      </c>
      <c r="P6" s="77"/>
      <c r="Q6" s="204" t="s">
        <v>37</v>
      </c>
    </row>
    <row r="7" spans="1:17" s="168" customFormat="1" ht="27" customHeight="1">
      <c r="A7" s="145" t="s">
        <v>187</v>
      </c>
      <c r="B7" s="145"/>
      <c r="C7" s="87">
        <v>33574</v>
      </c>
      <c r="D7" s="77"/>
      <c r="E7" s="101">
        <v>28941953954</v>
      </c>
      <c r="F7" s="77"/>
      <c r="G7" s="101">
        <v>-28238504735</v>
      </c>
      <c r="H7" s="101"/>
      <c r="I7" s="101">
        <f>E7+G7</f>
        <v>703449219</v>
      </c>
      <c r="J7" s="77"/>
      <c r="K7" s="87">
        <v>33574</v>
      </c>
      <c r="L7" s="101"/>
      <c r="M7" s="88">
        <v>28941953954</v>
      </c>
      <c r="N7" s="88"/>
      <c r="O7" s="201">
        <v>-24736934728</v>
      </c>
      <c r="P7" s="101"/>
      <c r="Q7" s="201">
        <f>M7+O7</f>
        <v>4205019226</v>
      </c>
    </row>
    <row r="8" spans="1:17" s="168" customFormat="1" ht="27" customHeight="1">
      <c r="A8" s="145" t="s">
        <v>120</v>
      </c>
      <c r="B8" s="145"/>
      <c r="C8" s="87">
        <v>245000</v>
      </c>
      <c r="D8" s="77"/>
      <c r="E8" s="101">
        <v>239361297902</v>
      </c>
      <c r="F8" s="77"/>
      <c r="G8" s="101">
        <v>-239849619376</v>
      </c>
      <c r="H8" s="101"/>
      <c r="I8" s="101">
        <f t="shared" ref="I8:I10" si="0">E8+G8</f>
        <v>-488321474</v>
      </c>
      <c r="J8" s="77"/>
      <c r="K8" s="87">
        <v>245000</v>
      </c>
      <c r="L8" s="101"/>
      <c r="M8" s="88">
        <v>239361297902</v>
      </c>
      <c r="N8" s="88"/>
      <c r="O8" s="201">
        <v>-239762535162</v>
      </c>
      <c r="P8" s="101"/>
      <c r="Q8" s="201">
        <f t="shared" ref="Q8:Q10" si="1">M8+O8</f>
        <v>-401237260</v>
      </c>
    </row>
    <row r="9" spans="1:17" s="168" customFormat="1" ht="27" customHeight="1">
      <c r="A9" s="145" t="s">
        <v>188</v>
      </c>
      <c r="B9" s="145"/>
      <c r="C9" s="87">
        <v>320000</v>
      </c>
      <c r="D9" s="77"/>
      <c r="E9" s="101">
        <v>317766394400</v>
      </c>
      <c r="F9" s="77"/>
      <c r="G9" s="101">
        <v>-317766394400</v>
      </c>
      <c r="H9" s="101"/>
      <c r="I9" s="101">
        <f t="shared" si="0"/>
        <v>0</v>
      </c>
      <c r="J9" s="77"/>
      <c r="K9" s="87">
        <v>320000</v>
      </c>
      <c r="L9" s="101"/>
      <c r="M9" s="88">
        <v>317766394400</v>
      </c>
      <c r="N9" s="88"/>
      <c r="O9" s="201">
        <v>-320000000000</v>
      </c>
      <c r="P9" s="101"/>
      <c r="Q9" s="201">
        <f t="shared" si="1"/>
        <v>-2233605600</v>
      </c>
    </row>
    <row r="10" spans="1:17" s="168" customFormat="1" ht="27" customHeight="1">
      <c r="A10" s="145" t="s">
        <v>282</v>
      </c>
      <c r="B10" s="145"/>
      <c r="C10" s="87">
        <v>200000</v>
      </c>
      <c r="D10" s="77"/>
      <c r="E10" s="101">
        <v>198603996500</v>
      </c>
      <c r="F10" s="77"/>
      <c r="G10" s="101">
        <v>-198603996500</v>
      </c>
      <c r="H10" s="101"/>
      <c r="I10" s="101">
        <f t="shared" si="0"/>
        <v>0</v>
      </c>
      <c r="J10" s="77"/>
      <c r="K10" s="87">
        <v>200000</v>
      </c>
      <c r="L10" s="101"/>
      <c r="M10" s="88">
        <v>198603996500</v>
      </c>
      <c r="N10" s="88"/>
      <c r="O10" s="201">
        <v>-211031593750</v>
      </c>
      <c r="P10" s="101"/>
      <c r="Q10" s="201">
        <f t="shared" si="1"/>
        <v>-12427597250</v>
      </c>
    </row>
    <row r="11" spans="1:17" s="168" customFormat="1" ht="23.25" thickBot="1">
      <c r="A11" s="247" t="s">
        <v>2</v>
      </c>
      <c r="B11" s="145"/>
      <c r="C11" s="412"/>
      <c r="D11" s="413"/>
      <c r="E11" s="414">
        <f>SUM(E7:E10)</f>
        <v>784673642756</v>
      </c>
      <c r="F11" s="103"/>
      <c r="G11" s="254">
        <f>SUM(G7:G10)</f>
        <v>-784458515011</v>
      </c>
      <c r="H11" s="103"/>
      <c r="I11" s="254">
        <f>SUM(I7:I10)</f>
        <v>215127745</v>
      </c>
      <c r="J11" s="103"/>
      <c r="K11" s="412"/>
      <c r="L11" s="103"/>
      <c r="M11" s="254">
        <f>SUM(M7:M10)</f>
        <v>784673642756</v>
      </c>
      <c r="N11" s="103"/>
      <c r="O11" s="254">
        <f>SUM(O7:O10)</f>
        <v>-795531063640</v>
      </c>
      <c r="P11" s="103"/>
      <c r="Q11" s="254">
        <f>SUM(Q7:Q10)</f>
        <v>-10857420884</v>
      </c>
    </row>
    <row r="12" spans="1:17" s="168" customFormat="1" ht="22.5" thickTop="1">
      <c r="A12" s="145"/>
      <c r="B12" s="145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</row>
    <row r="13" spans="1:17" s="168" customFormat="1" ht="24.75" customHeight="1">
      <c r="A13" s="392" t="s">
        <v>38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4"/>
    </row>
  </sheetData>
  <autoFilter ref="A6:Q6" xr:uid="{00000000-0009-0000-0000-000009000000}">
    <sortState xmlns:xlrd2="http://schemas.microsoft.com/office/spreadsheetml/2017/richdata2" ref="A7:Q22">
      <sortCondition descending="1" ref="Q6"/>
    </sortState>
  </autoFilter>
  <mergeCells count="7">
    <mergeCell ref="A13:Q13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70" zoomScaleNormal="100" zoomScaleSheetLayoutView="70" workbookViewId="0">
      <selection activeCell="L11" sqref="L11"/>
    </sheetView>
  </sheetViews>
  <sheetFormatPr defaultColWidth="9.140625" defaultRowHeight="30.75"/>
  <cols>
    <col min="1" max="1" width="54.7109375" style="20" customWidth="1"/>
    <col min="2" max="2" width="1.85546875" style="20" customWidth="1"/>
    <col min="3" max="3" width="11.42578125" style="24" customWidth="1"/>
    <col min="4" max="4" width="1.140625" style="24" customWidth="1"/>
    <col min="5" max="5" width="24.85546875" style="24" customWidth="1"/>
    <col min="6" max="6" width="1.42578125" style="24" customWidth="1"/>
    <col min="7" max="7" width="22.28515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13" style="24" customWidth="1"/>
    <col min="16" max="16" width="1.42578125" style="24" customWidth="1"/>
    <col min="17" max="17" width="18.7109375" style="24" customWidth="1"/>
    <col min="18" max="18" width="1.5703125" style="24" customWidth="1"/>
    <col min="19" max="19" width="24.28515625" style="24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3" t="s">
        <v>80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3" ht="31.5">
      <c r="A2" s="293" t="s">
        <v>44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</row>
    <row r="3" spans="1:23" ht="31.5">
      <c r="A3" s="293" t="s">
        <v>290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</row>
    <row r="4" spans="1:23" ht="31.5">
      <c r="A4" s="302" t="s">
        <v>23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</row>
    <row r="5" spans="1:23" ht="31.5">
      <c r="A5" s="302" t="s">
        <v>24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</row>
    <row r="7" spans="1:23" ht="36.75" customHeight="1" thickBot="1">
      <c r="A7" s="1"/>
      <c r="B7" s="2"/>
      <c r="C7" s="304" t="s">
        <v>280</v>
      </c>
      <c r="D7" s="304"/>
      <c r="E7" s="304"/>
      <c r="F7" s="304"/>
      <c r="G7" s="304"/>
      <c r="H7" s="3"/>
      <c r="I7" s="303" t="s">
        <v>7</v>
      </c>
      <c r="J7" s="303"/>
      <c r="K7" s="303"/>
      <c r="L7" s="303"/>
      <c r="M7" s="303"/>
      <c r="O7" s="305" t="s">
        <v>291</v>
      </c>
      <c r="P7" s="305"/>
      <c r="Q7" s="305"/>
      <c r="R7" s="305"/>
      <c r="S7" s="305"/>
      <c r="T7" s="305"/>
      <c r="U7" s="305"/>
      <c r="V7" s="305"/>
      <c r="W7" s="305"/>
    </row>
    <row r="8" spans="1:23" ht="29.25" customHeight="1">
      <c r="A8" s="294" t="s">
        <v>1</v>
      </c>
      <c r="B8" s="4"/>
      <c r="C8" s="300" t="s">
        <v>3</v>
      </c>
      <c r="D8" s="297"/>
      <c r="E8" s="300" t="s">
        <v>0</v>
      </c>
      <c r="F8" s="297"/>
      <c r="G8" s="306" t="s">
        <v>19</v>
      </c>
      <c r="H8" s="23"/>
      <c r="I8" s="296" t="s">
        <v>4</v>
      </c>
      <c r="J8" s="296"/>
      <c r="K8" s="25"/>
      <c r="L8" s="296" t="s">
        <v>5</v>
      </c>
      <c r="M8" s="296"/>
      <c r="O8" s="298" t="s">
        <v>3</v>
      </c>
      <c r="P8" s="297"/>
      <c r="Q8" s="306" t="s">
        <v>28</v>
      </c>
      <c r="R8" s="22"/>
      <c r="S8" s="298" t="s">
        <v>0</v>
      </c>
      <c r="T8" s="297"/>
      <c r="U8" s="306" t="s">
        <v>19</v>
      </c>
      <c r="V8" s="5"/>
      <c r="W8" s="308" t="s">
        <v>20</v>
      </c>
    </row>
    <row r="9" spans="1:23" ht="49.5" customHeight="1" thickBot="1">
      <c r="A9" s="295"/>
      <c r="B9" s="4"/>
      <c r="C9" s="299"/>
      <c r="D9" s="301"/>
      <c r="E9" s="299"/>
      <c r="F9" s="301"/>
      <c r="G9" s="307"/>
      <c r="H9" s="23"/>
      <c r="I9" s="26" t="s">
        <v>3</v>
      </c>
      <c r="J9" s="26" t="s">
        <v>0</v>
      </c>
      <c r="K9" s="25"/>
      <c r="L9" s="26" t="s">
        <v>3</v>
      </c>
      <c r="M9" s="26" t="s">
        <v>43</v>
      </c>
      <c r="O9" s="299"/>
      <c r="P9" s="297"/>
      <c r="Q9" s="307"/>
      <c r="R9" s="22"/>
      <c r="S9" s="299"/>
      <c r="T9" s="297"/>
      <c r="U9" s="307"/>
      <c r="V9" s="5"/>
      <c r="W9" s="309"/>
    </row>
    <row r="10" spans="1:23" ht="40.15" customHeight="1" thickBot="1">
      <c r="A10" s="208" t="s">
        <v>281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52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G20"/>
  <sheetViews>
    <sheetView rightToLeft="1" view="pageBreakPreview" topLeftCell="C1" zoomScale="55" zoomScaleNormal="50" zoomScaleSheetLayoutView="55" workbookViewId="0">
      <selection activeCell="W12" sqref="W12"/>
    </sheetView>
  </sheetViews>
  <sheetFormatPr defaultColWidth="9.140625" defaultRowHeight="15.75"/>
  <cols>
    <col min="1" max="1" width="52.7109375" style="106" customWidth="1"/>
    <col min="2" max="2" width="0.5703125" style="106" customWidth="1"/>
    <col min="3" max="3" width="15.42578125" style="106" customWidth="1"/>
    <col min="4" max="4" width="0.5703125" style="106" customWidth="1"/>
    <col min="5" max="5" width="19.85546875" style="106" customWidth="1"/>
    <col min="6" max="6" width="0.5703125" style="106" customWidth="1"/>
    <col min="7" max="7" width="19.7109375" style="106" customWidth="1"/>
    <col min="8" max="8" width="0.5703125" style="106" customWidth="1"/>
    <col min="9" max="9" width="19.7109375" style="106" customWidth="1"/>
    <col min="10" max="10" width="0.42578125" style="106" customWidth="1"/>
    <col min="11" max="11" width="17" style="106" customWidth="1"/>
    <col min="12" max="12" width="0.7109375" style="106" customWidth="1"/>
    <col min="13" max="13" width="15.85546875" style="106" customWidth="1"/>
    <col min="14" max="14" width="1.140625" style="106" customWidth="1"/>
    <col min="15" max="15" width="27.5703125" style="106" customWidth="1"/>
    <col min="16" max="16" width="0.5703125" style="106" customWidth="1"/>
    <col min="17" max="17" width="28.5703125" style="106" customWidth="1"/>
    <col min="18" max="18" width="0.5703125" style="106" customWidth="1"/>
    <col min="19" max="19" width="14.140625" style="106" customWidth="1"/>
    <col min="20" max="20" width="23.7109375" style="106" customWidth="1"/>
    <col min="21" max="21" width="0.5703125" style="106" customWidth="1"/>
    <col min="22" max="22" width="16.140625" style="106" customWidth="1"/>
    <col min="23" max="23" width="25" style="106" customWidth="1"/>
    <col min="24" max="24" width="0.5703125" style="106" customWidth="1"/>
    <col min="25" max="25" width="17" style="106" customWidth="1"/>
    <col min="26" max="26" width="0.42578125" style="106" customWidth="1"/>
    <col min="27" max="27" width="26.7109375" style="106" customWidth="1"/>
    <col min="28" max="28" width="0.7109375" style="106" customWidth="1"/>
    <col min="29" max="29" width="28.85546875" style="106" customWidth="1"/>
    <col min="30" max="30" width="0.5703125" style="106" customWidth="1"/>
    <col min="31" max="31" width="29.7109375" style="106" customWidth="1"/>
    <col min="32" max="32" width="0.7109375" style="106" hidden="1" customWidth="1"/>
    <col min="33" max="33" width="16.5703125" style="106" customWidth="1"/>
    <col min="34" max="16384" width="9.140625" style="106"/>
  </cols>
  <sheetData>
    <row r="1" spans="1:33" s="105" customFormat="1" ht="24.75">
      <c r="A1" s="310" t="s">
        <v>80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</row>
    <row r="2" spans="1:33" s="105" customFormat="1" ht="24.75">
      <c r="A2" s="310" t="s">
        <v>44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</row>
    <row r="3" spans="1:33" s="105" customFormat="1" ht="24.75">
      <c r="A3" s="310" t="str">
        <f>' سهام'!A3:W3</f>
        <v>برای ماه منتهی به 1403/09/30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</row>
    <row r="4" spans="1:33" ht="27.75">
      <c r="A4" s="311" t="s">
        <v>59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</row>
    <row r="5" spans="1:33" ht="24.7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249"/>
      <c r="AB5" s="107"/>
      <c r="AC5" s="107"/>
      <c r="AD5" s="107"/>
      <c r="AE5" s="107"/>
      <c r="AF5" s="107"/>
      <c r="AG5" s="107"/>
    </row>
    <row r="6" spans="1:33" ht="27.75" customHeight="1" thickBot="1">
      <c r="A6" s="312" t="s">
        <v>60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 t="s">
        <v>280</v>
      </c>
      <c r="N6" s="312"/>
      <c r="O6" s="312"/>
      <c r="P6" s="312"/>
      <c r="Q6" s="312"/>
      <c r="R6" s="108"/>
      <c r="S6" s="313" t="s">
        <v>7</v>
      </c>
      <c r="T6" s="313"/>
      <c r="U6" s="313"/>
      <c r="V6" s="313"/>
      <c r="W6" s="313"/>
      <c r="X6" s="107"/>
      <c r="Y6" s="312" t="s">
        <v>291</v>
      </c>
      <c r="Z6" s="312"/>
      <c r="AA6" s="312"/>
      <c r="AB6" s="312"/>
      <c r="AC6" s="312"/>
      <c r="AD6" s="312"/>
      <c r="AE6" s="312"/>
      <c r="AF6" s="312"/>
      <c r="AG6" s="312"/>
    </row>
    <row r="7" spans="1:33" ht="26.25" customHeight="1">
      <c r="A7" s="315" t="s">
        <v>61</v>
      </c>
      <c r="B7" s="109"/>
      <c r="C7" s="316" t="s">
        <v>62</v>
      </c>
      <c r="D7" s="109"/>
      <c r="E7" s="318" t="s">
        <v>67</v>
      </c>
      <c r="F7" s="109"/>
      <c r="G7" s="314" t="s">
        <v>63</v>
      </c>
      <c r="H7" s="109"/>
      <c r="I7" s="316" t="s">
        <v>21</v>
      </c>
      <c r="J7" s="109"/>
      <c r="K7" s="318" t="s">
        <v>64</v>
      </c>
      <c r="L7" s="110"/>
      <c r="M7" s="319" t="s">
        <v>3</v>
      </c>
      <c r="N7" s="314"/>
      <c r="O7" s="314" t="s">
        <v>0</v>
      </c>
      <c r="P7" s="314"/>
      <c r="Q7" s="314" t="s">
        <v>19</v>
      </c>
      <c r="R7" s="109"/>
      <c r="S7" s="321" t="s">
        <v>4</v>
      </c>
      <c r="T7" s="321"/>
      <c r="U7" s="107"/>
      <c r="V7" s="321" t="s">
        <v>5</v>
      </c>
      <c r="W7" s="321"/>
      <c r="X7" s="107"/>
      <c r="Y7" s="319" t="s">
        <v>3</v>
      </c>
      <c r="Z7" s="315"/>
      <c r="AA7" s="314" t="s">
        <v>65</v>
      </c>
      <c r="AB7" s="109"/>
      <c r="AC7" s="314" t="s">
        <v>0</v>
      </c>
      <c r="AD7" s="315"/>
      <c r="AE7" s="314" t="s">
        <v>19</v>
      </c>
      <c r="AF7" s="111"/>
      <c r="AG7" s="314" t="s">
        <v>20</v>
      </c>
    </row>
    <row r="8" spans="1:33" s="114" customFormat="1" ht="55.5" customHeight="1" thickBot="1">
      <c r="A8" s="312"/>
      <c r="B8" s="109"/>
      <c r="C8" s="317"/>
      <c r="D8" s="109"/>
      <c r="E8" s="317"/>
      <c r="F8" s="109"/>
      <c r="G8" s="312"/>
      <c r="H8" s="109"/>
      <c r="I8" s="317"/>
      <c r="J8" s="109"/>
      <c r="K8" s="317"/>
      <c r="L8" s="108"/>
      <c r="M8" s="320"/>
      <c r="N8" s="315"/>
      <c r="O8" s="312"/>
      <c r="P8" s="315"/>
      <c r="Q8" s="312"/>
      <c r="R8" s="109"/>
      <c r="S8" s="112" t="s">
        <v>3</v>
      </c>
      <c r="T8" s="112" t="s">
        <v>0</v>
      </c>
      <c r="U8" s="113"/>
      <c r="V8" s="112" t="s">
        <v>3</v>
      </c>
      <c r="W8" s="112" t="s">
        <v>43</v>
      </c>
      <c r="X8" s="113"/>
      <c r="Y8" s="320"/>
      <c r="Z8" s="315"/>
      <c r="AA8" s="312"/>
      <c r="AB8" s="109"/>
      <c r="AC8" s="312"/>
      <c r="AD8" s="315"/>
      <c r="AE8" s="312"/>
      <c r="AF8" s="111"/>
      <c r="AG8" s="312"/>
    </row>
    <row r="9" spans="1:33" s="114" customFormat="1" ht="41.25" customHeight="1">
      <c r="A9" s="208" t="s">
        <v>187</v>
      </c>
      <c r="B9" s="109"/>
      <c r="C9" s="108" t="s">
        <v>83</v>
      </c>
      <c r="D9" s="109"/>
      <c r="E9" s="108" t="s">
        <v>83</v>
      </c>
      <c r="F9" s="109"/>
      <c r="G9" s="115" t="s">
        <v>189</v>
      </c>
      <c r="H9" s="115"/>
      <c r="I9" s="115" t="s">
        <v>191</v>
      </c>
      <c r="J9" s="109"/>
      <c r="K9" s="62">
        <v>1000000</v>
      </c>
      <c r="L9" s="108"/>
      <c r="M9" s="30">
        <v>33574</v>
      </c>
      <c r="N9" s="109"/>
      <c r="O9" s="30">
        <v>24736934728</v>
      </c>
      <c r="P9" s="109"/>
      <c r="Q9" s="30">
        <v>28238504735</v>
      </c>
      <c r="R9" s="109"/>
      <c r="S9" s="30">
        <v>0</v>
      </c>
      <c r="T9" s="30">
        <v>0</v>
      </c>
      <c r="U9" s="113"/>
      <c r="V9" s="30">
        <v>0</v>
      </c>
      <c r="W9" s="30">
        <v>0</v>
      </c>
      <c r="X9" s="113"/>
      <c r="Y9" s="30">
        <v>33574</v>
      </c>
      <c r="Z9" s="109"/>
      <c r="AA9" s="89">
        <v>862191</v>
      </c>
      <c r="AB9" s="109"/>
      <c r="AC9" s="30">
        <v>24736934728</v>
      </c>
      <c r="AD9" s="30"/>
      <c r="AE9" s="30">
        <v>28941953954</v>
      </c>
      <c r="AF9" s="111"/>
      <c r="AG9" s="217">
        <f>AE9/درآمدها!$J$5</f>
        <v>2.0661282239755999E-2</v>
      </c>
    </row>
    <row r="10" spans="1:33" s="114" customFormat="1" ht="41.25" customHeight="1">
      <c r="A10" s="208" t="s">
        <v>120</v>
      </c>
      <c r="B10" s="109"/>
      <c r="C10" s="108" t="s">
        <v>83</v>
      </c>
      <c r="D10" s="109"/>
      <c r="E10" s="108" t="s">
        <v>83</v>
      </c>
      <c r="F10" s="109"/>
      <c r="G10" s="115" t="s">
        <v>121</v>
      </c>
      <c r="H10" s="115"/>
      <c r="I10" s="115" t="s">
        <v>122</v>
      </c>
      <c r="J10" s="109"/>
      <c r="K10" s="62">
        <v>1000000</v>
      </c>
      <c r="L10" s="108"/>
      <c r="M10" s="30">
        <v>325000</v>
      </c>
      <c r="N10" s="109"/>
      <c r="O10" s="30">
        <v>315782871287</v>
      </c>
      <c r="P10" s="109"/>
      <c r="Q10" s="30">
        <v>318139426777</v>
      </c>
      <c r="R10" s="109"/>
      <c r="S10" s="30">
        <v>0</v>
      </c>
      <c r="T10" s="30">
        <v>0</v>
      </c>
      <c r="U10" s="113"/>
      <c r="V10" s="30">
        <v>80000</v>
      </c>
      <c r="W10" s="30">
        <v>79599500000</v>
      </c>
      <c r="X10" s="113"/>
      <c r="Y10" s="30">
        <v>245000</v>
      </c>
      <c r="Z10" s="109"/>
      <c r="AA10" s="89">
        <v>977162</v>
      </c>
      <c r="AB10" s="109"/>
      <c r="AC10" s="30">
        <v>238051702970</v>
      </c>
      <c r="AD10" s="30"/>
      <c r="AE10" s="30">
        <v>239361297902</v>
      </c>
      <c r="AF10" s="111"/>
      <c r="AG10" s="217">
        <f>AE10/درآمدها!$J$5</f>
        <v>0.17087689867407968</v>
      </c>
    </row>
    <row r="11" spans="1:33" s="114" customFormat="1" ht="41.25" customHeight="1">
      <c r="A11" s="208" t="s">
        <v>188</v>
      </c>
      <c r="B11" s="109"/>
      <c r="C11" s="108" t="s">
        <v>83</v>
      </c>
      <c r="D11" s="109"/>
      <c r="E11" s="108" t="s">
        <v>83</v>
      </c>
      <c r="F11" s="109"/>
      <c r="G11" s="115" t="s">
        <v>190</v>
      </c>
      <c r="H11" s="20"/>
      <c r="I11" s="115" t="s">
        <v>192</v>
      </c>
      <c r="J11" s="109"/>
      <c r="K11" s="62">
        <v>1000000</v>
      </c>
      <c r="L11" s="108"/>
      <c r="M11" s="30">
        <v>320000</v>
      </c>
      <c r="N11" s="99">
        <v>200036250000</v>
      </c>
      <c r="O11" s="30">
        <v>320000000000</v>
      </c>
      <c r="P11" s="30"/>
      <c r="Q11" s="30">
        <v>317766394400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320000</v>
      </c>
      <c r="Z11" s="30"/>
      <c r="AA11" s="89">
        <v>993200</v>
      </c>
      <c r="AB11" s="30"/>
      <c r="AC11" s="30">
        <v>320000000000</v>
      </c>
      <c r="AD11" s="30"/>
      <c r="AE11" s="30">
        <v>317766394400</v>
      </c>
      <c r="AF11" s="218"/>
      <c r="AG11" s="217">
        <f>AE11/درآمدها!$J$5</f>
        <v>0.22684927118062198</v>
      </c>
    </row>
    <row r="12" spans="1:33" s="114" customFormat="1" ht="41.25" customHeight="1" thickBot="1">
      <c r="A12" s="208" t="s">
        <v>282</v>
      </c>
      <c r="B12" s="109"/>
      <c r="C12" s="115" t="s">
        <v>83</v>
      </c>
      <c r="D12" s="20"/>
      <c r="E12" s="115" t="s">
        <v>83</v>
      </c>
      <c r="F12" s="20"/>
      <c r="G12" s="115" t="s">
        <v>283</v>
      </c>
      <c r="H12" s="20"/>
      <c r="I12" s="115" t="s">
        <v>284</v>
      </c>
      <c r="J12" s="115"/>
      <c r="K12" s="62">
        <v>1000000</v>
      </c>
      <c r="L12" s="108"/>
      <c r="M12" s="30">
        <v>200000</v>
      </c>
      <c r="N12" s="100"/>
      <c r="O12" s="30">
        <v>211031593750</v>
      </c>
      <c r="P12" s="30"/>
      <c r="Q12" s="30">
        <v>198603996500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200000</v>
      </c>
      <c r="Z12" s="30"/>
      <c r="AA12" s="89">
        <v>993200</v>
      </c>
      <c r="AB12" s="30"/>
      <c r="AC12" s="30">
        <v>211031593750</v>
      </c>
      <c r="AD12" s="30"/>
      <c r="AE12" s="30">
        <v>198603996500</v>
      </c>
      <c r="AF12" s="219"/>
      <c r="AG12" s="217">
        <f>AE12/درآمدها!$J$5</f>
        <v>0.14178079448788874</v>
      </c>
    </row>
    <row r="13" spans="1:33" s="117" customFormat="1" ht="32.25" thickBot="1">
      <c r="A13" s="1" t="s">
        <v>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396"/>
      <c r="N13" s="91"/>
      <c r="O13" s="397">
        <f>SUM(O9:O12)</f>
        <v>871551399765</v>
      </c>
      <c r="P13" s="398"/>
      <c r="Q13" s="397">
        <f>SUM(Q9:Q12)</f>
        <v>862748322412</v>
      </c>
      <c r="R13" s="398"/>
      <c r="S13" s="396"/>
      <c r="T13" s="397">
        <f>SUM(T9:T12)</f>
        <v>0</v>
      </c>
      <c r="U13" s="398"/>
      <c r="V13" s="396"/>
      <c r="W13" s="397">
        <f>SUM(W9:X12)</f>
        <v>79599500000</v>
      </c>
      <c r="X13" s="398"/>
      <c r="Y13" s="396"/>
      <c r="Z13" s="398"/>
      <c r="AA13" s="398"/>
      <c r="AB13" s="398"/>
      <c r="AC13" s="397">
        <f>SUM(AC9:AC12)</f>
        <v>793820231448</v>
      </c>
      <c r="AD13" s="398"/>
      <c r="AE13" s="397">
        <f>SUM(AE9:AE12)</f>
        <v>784673642756</v>
      </c>
      <c r="AF13" s="106"/>
      <c r="AG13" s="224">
        <f>SUM(AG9:AG12)</f>
        <v>0.56016824658234643</v>
      </c>
    </row>
    <row r="14" spans="1:33" s="118" customFormat="1" ht="32.25" thickTop="1">
      <c r="M14" s="106"/>
      <c r="N14" s="106"/>
      <c r="P14" s="106"/>
      <c r="R14" s="106"/>
      <c r="S14" s="106"/>
      <c r="U14" s="106"/>
      <c r="V14" s="106"/>
      <c r="X14" s="106"/>
      <c r="Y14" s="106"/>
      <c r="Z14" s="106"/>
      <c r="AA14" s="106"/>
      <c r="AB14" s="106"/>
      <c r="AD14" s="106"/>
      <c r="AF14" s="106"/>
    </row>
    <row r="18" spans="27:29">
      <c r="AA18" s="205"/>
      <c r="AC18" s="216"/>
    </row>
    <row r="19" spans="27:29">
      <c r="AA19" s="205"/>
    </row>
    <row r="20" spans="27:29">
      <c r="AA20" s="206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3"/>
  <sheetViews>
    <sheetView rightToLeft="1" view="pageBreakPreview" topLeftCell="A2" zoomScaleNormal="56" zoomScaleSheetLayoutView="100" workbookViewId="0">
      <selection activeCell="G11" sqref="G11"/>
    </sheetView>
  </sheetViews>
  <sheetFormatPr defaultRowHeight="15"/>
  <cols>
    <col min="1" max="1" width="40" bestFit="1" customWidth="1"/>
    <col min="2" max="2" width="2" customWidth="1"/>
    <col min="3" max="3" width="12.5703125" customWidth="1"/>
    <col min="4" max="4" width="2" customWidth="1"/>
    <col min="5" max="5" width="13.7109375" customWidth="1"/>
    <col min="6" max="6" width="2" customWidth="1"/>
    <col min="7" max="7" width="11.7109375" customWidth="1"/>
    <col min="8" max="8" width="2" customWidth="1"/>
    <col min="9" max="9" width="12" customWidth="1"/>
    <col min="10" max="10" width="2" customWidth="1"/>
    <col min="11" max="11" width="20.28515625" customWidth="1"/>
    <col min="12" max="12" width="2" customWidth="1"/>
    <col min="13" max="13" width="53" customWidth="1"/>
    <col min="14" max="14" width="20.140625" bestFit="1" customWidth="1"/>
    <col min="15" max="15" width="17.28515625" style="97" customWidth="1"/>
    <col min="16" max="16" width="16.7109375" bestFit="1" customWidth="1"/>
  </cols>
  <sheetData>
    <row r="1" spans="1:33" s="105" customFormat="1" ht="24.75">
      <c r="A1" s="321" t="s">
        <v>80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119"/>
      <c r="O1" s="92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3" s="105" customFormat="1" ht="24.75">
      <c r="A2" s="321" t="s">
        <v>44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119"/>
      <c r="O2" s="92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s="105" customFormat="1" ht="24.75">
      <c r="A3" s="321" t="str">
        <f>' سهام'!A3:W3</f>
        <v>برای ماه منتهی به 1403/09/30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119"/>
      <c r="O3" s="92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5" spans="1:33" s="120" customFormat="1" ht="22.5">
      <c r="A5" s="322" t="s">
        <v>90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93"/>
      <c r="O5" s="94"/>
      <c r="P5" s="95"/>
    </row>
    <row r="6" spans="1:33" s="120" customFormat="1" ht="22.5">
      <c r="A6" s="322" t="s">
        <v>91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93"/>
      <c r="O6" s="94"/>
      <c r="P6" s="95"/>
    </row>
    <row r="7" spans="1:33" s="120" customFormat="1" ht="47.1" customHeight="1" thickBot="1">
      <c r="A7" s="121"/>
    </row>
    <row r="8" spans="1:33" ht="42">
      <c r="A8" s="265" t="s">
        <v>84</v>
      </c>
      <c r="B8" s="122"/>
      <c r="C8" s="220" t="s">
        <v>85</v>
      </c>
      <c r="D8" s="122"/>
      <c r="E8" s="220" t="s">
        <v>243</v>
      </c>
      <c r="F8" s="122"/>
      <c r="G8" s="220" t="s">
        <v>86</v>
      </c>
      <c r="H8" s="122"/>
      <c r="I8" s="220" t="s">
        <v>87</v>
      </c>
      <c r="J8" s="122"/>
      <c r="K8" s="220" t="s">
        <v>88</v>
      </c>
      <c r="L8" s="122"/>
      <c r="M8" s="220" t="s">
        <v>89</v>
      </c>
      <c r="N8" s="120"/>
      <c r="O8" s="120"/>
      <c r="P8" s="120"/>
      <c r="Q8" s="120"/>
    </row>
    <row r="9" spans="1:33" ht="22.5">
      <c r="A9" s="270" t="s">
        <v>188</v>
      </c>
      <c r="B9" s="221"/>
      <c r="C9" s="266">
        <f>اوراق!Y11</f>
        <v>320000</v>
      </c>
      <c r="D9" s="221"/>
      <c r="E9" s="266">
        <v>1070000</v>
      </c>
      <c r="F9" s="221"/>
      <c r="G9" s="266">
        <f>اوراق!AA11</f>
        <v>993200</v>
      </c>
      <c r="H9" s="221"/>
      <c r="I9" s="221">
        <f>G9/E9-1</f>
        <v>-7.1775700934579412E-2</v>
      </c>
      <c r="J9" s="221"/>
      <c r="K9" s="266">
        <f>VLOOKUP(A9,اوراق!$A$9:$AG$12,31,0)</f>
        <v>317766394400</v>
      </c>
      <c r="L9" s="221"/>
      <c r="M9" s="271" t="s">
        <v>208</v>
      </c>
      <c r="N9" s="120"/>
      <c r="O9" s="120"/>
      <c r="P9" s="120"/>
      <c r="Q9" s="120"/>
    </row>
    <row r="10" spans="1:33" ht="22.5">
      <c r="A10" s="270" t="s">
        <v>282</v>
      </c>
      <c r="B10" s="221"/>
      <c r="C10" s="266">
        <f>اوراق!Y12</f>
        <v>200000</v>
      </c>
      <c r="D10" s="221"/>
      <c r="E10" s="266">
        <v>1070000</v>
      </c>
      <c r="F10" s="221"/>
      <c r="G10" s="266">
        <f>اوراق!AA12</f>
        <v>993200</v>
      </c>
      <c r="H10" s="221"/>
      <c r="I10" s="221">
        <f t="shared" ref="I10:I12" si="0">G10/E10-1</f>
        <v>-7.1775700934579412E-2</v>
      </c>
      <c r="J10" s="221"/>
      <c r="K10" s="266">
        <f>VLOOKUP(A10,اوراق!$A$9:$AG$12,31,0)</f>
        <v>198603996500</v>
      </c>
      <c r="L10" s="221"/>
      <c r="M10" s="271" t="s">
        <v>208</v>
      </c>
      <c r="N10" s="120"/>
      <c r="O10" s="120"/>
      <c r="P10" s="120"/>
      <c r="Q10" s="120"/>
    </row>
    <row r="11" spans="1:33" ht="22.5">
      <c r="A11" s="270" t="s">
        <v>120</v>
      </c>
      <c r="B11" s="221"/>
      <c r="C11" s="266">
        <f>اوراق!Y10</f>
        <v>245000</v>
      </c>
      <c r="D11" s="221"/>
      <c r="E11" s="266">
        <v>998500</v>
      </c>
      <c r="F11" s="221"/>
      <c r="G11" s="266">
        <f>اوراق!AA10</f>
        <v>977162</v>
      </c>
      <c r="H11" s="221"/>
      <c r="I11" s="221">
        <f t="shared" si="0"/>
        <v>-2.1370055082623907E-2</v>
      </c>
      <c r="J11" s="221"/>
      <c r="K11" s="266">
        <f>VLOOKUP(A11,اوراق!$A$9:$AG$12,31,0)</f>
        <v>239361297902</v>
      </c>
      <c r="L11" s="221"/>
      <c r="M11" s="271" t="s">
        <v>208</v>
      </c>
      <c r="N11" s="120"/>
      <c r="O11" s="120"/>
      <c r="P11" s="120"/>
      <c r="Q11" s="120"/>
    </row>
    <row r="12" spans="1:33" ht="22.5">
      <c r="A12" s="270" t="s">
        <v>187</v>
      </c>
      <c r="B12" s="221"/>
      <c r="C12" s="266">
        <f>اوراق!Y9</f>
        <v>33574</v>
      </c>
      <c r="D12" s="120"/>
      <c r="E12" s="266">
        <v>877000</v>
      </c>
      <c r="F12" s="120"/>
      <c r="G12" s="268">
        <f>اوراق!AA9</f>
        <v>862191</v>
      </c>
      <c r="H12" s="120"/>
      <c r="I12" s="221">
        <f t="shared" si="0"/>
        <v>-1.6885974914481183E-2</v>
      </c>
      <c r="J12" s="120"/>
      <c r="K12" s="266">
        <f>VLOOKUP(A12,اوراق!$A$9:$AG$12,31,0)</f>
        <v>28941953954</v>
      </c>
      <c r="L12" s="120"/>
      <c r="M12" s="272" t="s">
        <v>208</v>
      </c>
      <c r="N12" s="120"/>
      <c r="O12" s="120"/>
      <c r="P12" s="120"/>
      <c r="Q12" s="120"/>
    </row>
    <row r="13" spans="1:33" ht="22.5">
      <c r="A13" s="126"/>
      <c r="B13" s="126"/>
      <c r="C13" s="126"/>
      <c r="D13" s="126"/>
      <c r="E13" s="126"/>
      <c r="F13" s="126"/>
      <c r="G13" s="126"/>
      <c r="H13" s="126"/>
      <c r="I13" s="123"/>
      <c r="J13" s="126"/>
      <c r="K13" s="126"/>
      <c r="L13" s="126"/>
      <c r="M13" s="126"/>
      <c r="N13" s="96"/>
      <c r="O13" s="125"/>
      <c r="P13" s="102"/>
      <c r="Q13" s="120"/>
    </row>
    <row r="14" spans="1:33" ht="22.5">
      <c r="C14" s="127"/>
      <c r="L14" s="124"/>
    </row>
    <row r="15" spans="1:33">
      <c r="C15" s="127"/>
      <c r="O15" s="222"/>
    </row>
    <row r="17" spans="5:15" ht="22.5">
      <c r="G17" s="128"/>
      <c r="N17" s="93"/>
    </row>
    <row r="18" spans="5:15" ht="22.5">
      <c r="E18" s="126"/>
      <c r="N18" s="93"/>
      <c r="O18" s="223"/>
    </row>
    <row r="19" spans="5:15" ht="22.5">
      <c r="N19" s="93"/>
    </row>
    <row r="21" spans="5:15">
      <c r="K21" s="127"/>
      <c r="M21" s="129"/>
    </row>
    <row r="22" spans="5:15">
      <c r="K22" s="127"/>
    </row>
    <row r="23" spans="5:15">
      <c r="M23" s="127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K45"/>
  <sheetViews>
    <sheetView rightToLeft="1" view="pageBreakPreview" topLeftCell="A39" zoomScale="130" zoomScaleNormal="100" zoomScaleSheetLayoutView="130" workbookViewId="0">
      <selection activeCell="C47" sqref="C47"/>
    </sheetView>
  </sheetViews>
  <sheetFormatPr defaultColWidth="9.140625" defaultRowHeight="15"/>
  <cols>
    <col min="1" max="1" width="38" style="130" customWidth="1"/>
    <col min="2" max="2" width="0.42578125" style="130" customWidth="1"/>
    <col min="3" max="3" width="17" style="68" customWidth="1"/>
    <col min="4" max="4" width="0.7109375" style="130" customWidth="1"/>
    <col min="5" max="5" width="21.85546875" style="130" customWidth="1"/>
    <col min="6" max="6" width="0.42578125" style="130" customWidth="1"/>
    <col min="7" max="7" width="22.140625" style="130" customWidth="1"/>
    <col min="8" max="8" width="0.42578125" style="130" customWidth="1"/>
    <col min="9" max="9" width="16.140625" style="130" customWidth="1"/>
    <col min="10" max="10" width="0.5703125" style="130" customWidth="1"/>
    <col min="11" max="11" width="16" style="130" customWidth="1"/>
    <col min="12" max="16384" width="9.140625" style="130"/>
  </cols>
  <sheetData>
    <row r="1" spans="1:11" ht="18.75">
      <c r="A1" s="325" t="s">
        <v>80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8.75">
      <c r="A2" s="325" t="s">
        <v>44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11" ht="16.5" customHeight="1">
      <c r="A3" s="325" t="str">
        <f>' سهام'!A3:W3</f>
        <v>برای ماه منتهی به 1403/09/30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1" ht="18.75">
      <c r="A4" s="328" t="s">
        <v>45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1" ht="11.25" customHeight="1" thickBot="1">
      <c r="A5" s="131"/>
      <c r="B5" s="132"/>
      <c r="C5" s="63"/>
      <c r="D5" s="132"/>
      <c r="E5" s="132"/>
      <c r="F5" s="132"/>
      <c r="G5" s="132"/>
      <c r="H5" s="132"/>
      <c r="I5" s="132"/>
      <c r="J5" s="132"/>
      <c r="K5" s="132"/>
    </row>
    <row r="6" spans="1:11" ht="18.75" customHeight="1" thickBot="1">
      <c r="A6" s="133"/>
      <c r="B6" s="134"/>
      <c r="C6" s="64" t="s">
        <v>280</v>
      </c>
      <c r="D6" s="135"/>
      <c r="E6" s="324" t="s">
        <v>7</v>
      </c>
      <c r="F6" s="324"/>
      <c r="G6" s="324"/>
      <c r="H6" s="136"/>
      <c r="I6" s="191" t="s">
        <v>291</v>
      </c>
      <c r="J6" s="192"/>
      <c r="K6" s="192"/>
    </row>
    <row r="7" spans="1:11" ht="17.25" customHeight="1">
      <c r="A7" s="331" t="s">
        <v>8</v>
      </c>
      <c r="B7" s="331"/>
      <c r="C7" s="333" t="s">
        <v>6</v>
      </c>
      <c r="D7" s="137"/>
      <c r="E7" s="335" t="s">
        <v>30</v>
      </c>
      <c r="F7" s="138"/>
      <c r="G7" s="335" t="s">
        <v>31</v>
      </c>
      <c r="H7" s="131"/>
      <c r="I7" s="329" t="s">
        <v>6</v>
      </c>
      <c r="J7" s="331"/>
      <c r="K7" s="326" t="s">
        <v>20</v>
      </c>
    </row>
    <row r="8" spans="1:11" ht="11.25" customHeight="1" thickBot="1">
      <c r="A8" s="332"/>
      <c r="B8" s="331"/>
      <c r="C8" s="334"/>
      <c r="D8" s="137"/>
      <c r="E8" s="336"/>
      <c r="F8" s="131"/>
      <c r="G8" s="336"/>
      <c r="H8" s="131"/>
      <c r="I8" s="330"/>
      <c r="J8" s="331"/>
      <c r="K8" s="327"/>
    </row>
    <row r="9" spans="1:11" s="131" customFormat="1" ht="18">
      <c r="A9" s="139" t="s">
        <v>99</v>
      </c>
      <c r="B9" s="66"/>
      <c r="C9" s="66">
        <v>588610</v>
      </c>
      <c r="D9" s="66"/>
      <c r="E9" s="65">
        <v>2412</v>
      </c>
      <c r="F9" s="66"/>
      <c r="G9" s="65">
        <v>0</v>
      </c>
      <c r="H9" s="66"/>
      <c r="I9" s="66">
        <v>591022</v>
      </c>
      <c r="K9" s="67">
        <f>I9/درآمدها!$J$5</f>
        <v>4.2192287263373867E-7</v>
      </c>
    </row>
    <row r="10" spans="1:11" s="131" customFormat="1" ht="18">
      <c r="A10" s="139" t="s">
        <v>93</v>
      </c>
      <c r="B10" s="66"/>
      <c r="C10" s="66">
        <v>1792906</v>
      </c>
      <c r="D10" s="66"/>
      <c r="E10" s="65">
        <v>25390</v>
      </c>
      <c r="F10" s="66"/>
      <c r="G10" s="65">
        <v>0</v>
      </c>
      <c r="H10" s="66"/>
      <c r="I10" s="66">
        <v>1818296</v>
      </c>
      <c r="K10" s="67">
        <f>I10/درآمدها!$J$5</f>
        <v>1.2980577230939567E-6</v>
      </c>
    </row>
    <row r="11" spans="1:11" s="131" customFormat="1" ht="18">
      <c r="A11" s="139" t="s">
        <v>94</v>
      </c>
      <c r="B11" s="66"/>
      <c r="C11" s="66">
        <v>136000</v>
      </c>
      <c r="D11" s="66"/>
      <c r="E11" s="65">
        <v>0</v>
      </c>
      <c r="F11" s="66"/>
      <c r="G11" s="65">
        <v>0</v>
      </c>
      <c r="H11" s="66"/>
      <c r="I11" s="66">
        <v>136000</v>
      </c>
      <c r="K11" s="67">
        <f>I11/درآمدها!$J$5</f>
        <v>9.7088620522059176E-8</v>
      </c>
    </row>
    <row r="12" spans="1:11" s="131" customFormat="1" ht="18">
      <c r="A12" s="139" t="s">
        <v>296</v>
      </c>
      <c r="B12" s="66"/>
      <c r="C12" s="66">
        <v>0</v>
      </c>
      <c r="D12" s="66"/>
      <c r="E12" s="65">
        <v>12300000000</v>
      </c>
      <c r="F12" s="66"/>
      <c r="G12" s="65">
        <v>12298036600</v>
      </c>
      <c r="H12" s="66"/>
      <c r="I12" s="66">
        <v>1963400</v>
      </c>
      <c r="K12" s="67">
        <f>I12/درآمدها!$J$5</f>
        <v>1.401645570095669E-6</v>
      </c>
    </row>
    <row r="13" spans="1:11" s="131" customFormat="1" ht="18">
      <c r="A13" s="139" t="s">
        <v>297</v>
      </c>
      <c r="B13" s="66"/>
      <c r="C13" s="66">
        <v>0</v>
      </c>
      <c r="D13" s="66"/>
      <c r="E13" s="65">
        <v>12296000000</v>
      </c>
      <c r="F13" s="66"/>
      <c r="G13" s="65">
        <v>0</v>
      </c>
      <c r="H13" s="66"/>
      <c r="I13" s="66">
        <v>12296000000</v>
      </c>
      <c r="K13" s="67">
        <f>I13/درآمدها!$J$5</f>
        <v>8.7779535142591143E-3</v>
      </c>
    </row>
    <row r="14" spans="1:11" s="131" customFormat="1" ht="18">
      <c r="A14" s="139" t="s">
        <v>98</v>
      </c>
      <c r="B14" s="66"/>
      <c r="C14" s="66">
        <v>216209</v>
      </c>
      <c r="D14" s="66"/>
      <c r="E14" s="65">
        <v>8475401652</v>
      </c>
      <c r="F14" s="66"/>
      <c r="G14" s="65">
        <v>8473863128</v>
      </c>
      <c r="H14" s="66"/>
      <c r="I14" s="66">
        <v>1754733</v>
      </c>
      <c r="K14" s="67">
        <f>I14/درآمدها!$J$5</f>
        <v>1.2526809290774593E-6</v>
      </c>
    </row>
    <row r="15" spans="1:11" s="131" customFormat="1" ht="18">
      <c r="A15" s="139" t="s">
        <v>102</v>
      </c>
      <c r="B15" s="66"/>
      <c r="C15" s="66">
        <v>262424</v>
      </c>
      <c r="D15" s="66"/>
      <c r="E15" s="65">
        <v>0</v>
      </c>
      <c r="F15" s="66"/>
      <c r="G15" s="65">
        <v>0</v>
      </c>
      <c r="H15" s="66"/>
      <c r="I15" s="66">
        <v>262424</v>
      </c>
      <c r="K15" s="67">
        <f>I15/درآمدها!$J$5</f>
        <v>1.8734105994030042E-7</v>
      </c>
    </row>
    <row r="16" spans="1:11" s="131" customFormat="1" ht="18">
      <c r="A16" s="139" t="s">
        <v>96</v>
      </c>
      <c r="B16" s="66"/>
      <c r="C16" s="66">
        <v>1380880</v>
      </c>
      <c r="D16" s="66"/>
      <c r="E16" s="65">
        <v>5675</v>
      </c>
      <c r="F16" s="66"/>
      <c r="G16" s="65">
        <v>0</v>
      </c>
      <c r="H16" s="66"/>
      <c r="I16" s="66">
        <v>1386555</v>
      </c>
      <c r="K16" s="67">
        <f>I16/درآمدها!$J$5</f>
        <v>9.8984347226443942E-7</v>
      </c>
    </row>
    <row r="17" spans="1:11" s="131" customFormat="1" ht="18">
      <c r="A17" s="139" t="s">
        <v>104</v>
      </c>
      <c r="B17" s="66"/>
      <c r="C17" s="66">
        <v>347022</v>
      </c>
      <c r="D17" s="66"/>
      <c r="E17" s="65">
        <v>1422</v>
      </c>
      <c r="F17" s="66"/>
      <c r="G17" s="65">
        <v>0</v>
      </c>
      <c r="H17" s="66"/>
      <c r="I17" s="66">
        <v>348444</v>
      </c>
      <c r="K17" s="67">
        <f>I17/درآمدها!$J$5</f>
        <v>2.4874961242050286E-7</v>
      </c>
    </row>
    <row r="18" spans="1:11" s="131" customFormat="1" ht="18">
      <c r="A18" s="139" t="s">
        <v>124</v>
      </c>
      <c r="B18" s="66"/>
      <c r="C18" s="66">
        <v>364036</v>
      </c>
      <c r="D18" s="66"/>
      <c r="E18" s="65">
        <v>0</v>
      </c>
      <c r="F18" s="66"/>
      <c r="G18" s="65">
        <v>0</v>
      </c>
      <c r="H18" s="66"/>
      <c r="I18" s="66">
        <v>364036</v>
      </c>
      <c r="K18" s="67">
        <f>I18/درآمدها!$J$5</f>
        <v>2.5988053720859066E-7</v>
      </c>
    </row>
    <row r="19" spans="1:11" s="131" customFormat="1" ht="18">
      <c r="A19" s="139" t="s">
        <v>130</v>
      </c>
      <c r="B19" s="66"/>
      <c r="C19" s="66">
        <v>0</v>
      </c>
      <c r="D19" s="66"/>
      <c r="E19" s="65">
        <v>0</v>
      </c>
      <c r="F19" s="66"/>
      <c r="G19" s="65">
        <v>0</v>
      </c>
      <c r="H19" s="66"/>
      <c r="I19" s="66">
        <v>0</v>
      </c>
      <c r="K19" s="67">
        <f>I19/درآمدها!$J$5</f>
        <v>0</v>
      </c>
    </row>
    <row r="20" spans="1:11" s="131" customFormat="1" ht="18">
      <c r="A20" s="139" t="s">
        <v>123</v>
      </c>
      <c r="B20" s="66"/>
      <c r="C20" s="66">
        <v>2272277</v>
      </c>
      <c r="D20" s="66"/>
      <c r="E20" s="65">
        <v>85450461394</v>
      </c>
      <c r="F20" s="66"/>
      <c r="G20" s="65">
        <v>84901900000</v>
      </c>
      <c r="H20" s="66"/>
      <c r="I20" s="66">
        <v>550833671</v>
      </c>
      <c r="K20" s="67">
        <f>I20/درآمدها!$J$5</f>
        <v>3.9323295040067491E-4</v>
      </c>
    </row>
    <row r="21" spans="1:11" s="131" customFormat="1" ht="18">
      <c r="A21" s="139" t="s">
        <v>286</v>
      </c>
      <c r="B21" s="66"/>
      <c r="C21" s="66">
        <v>200000000000</v>
      </c>
      <c r="D21" s="66"/>
      <c r="E21" s="65">
        <v>0</v>
      </c>
      <c r="F21" s="66"/>
      <c r="G21" s="65">
        <v>80125000000</v>
      </c>
      <c r="H21" s="66"/>
      <c r="I21" s="66">
        <v>119875000000</v>
      </c>
      <c r="K21" s="67">
        <f>I21/درآمدها!$J$5</f>
        <v>8.5577194007954729E-2</v>
      </c>
    </row>
    <row r="22" spans="1:11" s="131" customFormat="1" ht="18">
      <c r="A22" s="139" t="s">
        <v>285</v>
      </c>
      <c r="B22" s="66"/>
      <c r="C22" s="66">
        <v>200000000000</v>
      </c>
      <c r="D22" s="66"/>
      <c r="E22" s="65">
        <v>0</v>
      </c>
      <c r="F22" s="66"/>
      <c r="G22" s="65">
        <v>0</v>
      </c>
      <c r="H22" s="66"/>
      <c r="I22" s="66">
        <v>200000000000</v>
      </c>
      <c r="K22" s="67">
        <f>I22/درآمدها!$J$5</f>
        <v>0.14277738312067526</v>
      </c>
    </row>
    <row r="23" spans="1:11" s="131" customFormat="1" ht="18">
      <c r="A23" s="139" t="s">
        <v>287</v>
      </c>
      <c r="B23" s="66"/>
      <c r="C23" s="66">
        <v>38588000000</v>
      </c>
      <c r="D23" s="66"/>
      <c r="E23" s="65">
        <v>0</v>
      </c>
      <c r="F23" s="66"/>
      <c r="G23" s="65">
        <v>0</v>
      </c>
      <c r="H23" s="66"/>
      <c r="I23" s="66">
        <v>38588000000</v>
      </c>
      <c r="K23" s="67">
        <f>I23/درآمدها!$J$5</f>
        <v>2.7547468299303084E-2</v>
      </c>
    </row>
    <row r="24" spans="1:11" s="131" customFormat="1" ht="18">
      <c r="A24" s="139" t="s">
        <v>129</v>
      </c>
      <c r="B24" s="66"/>
      <c r="C24" s="66">
        <v>0</v>
      </c>
      <c r="D24" s="66"/>
      <c r="E24" s="65">
        <v>0</v>
      </c>
      <c r="F24" s="66"/>
      <c r="G24" s="65">
        <v>0</v>
      </c>
      <c r="H24" s="66"/>
      <c r="I24" s="66">
        <v>0</v>
      </c>
      <c r="K24" s="67">
        <f>I24/درآمدها!$J$5</f>
        <v>0</v>
      </c>
    </row>
    <row r="25" spans="1:11" s="131" customFormat="1" ht="18.75" customHeight="1">
      <c r="A25" s="139" t="s">
        <v>137</v>
      </c>
      <c r="B25" s="66"/>
      <c r="C25" s="66">
        <v>121333240</v>
      </c>
      <c r="D25" s="66"/>
      <c r="E25" s="65">
        <v>3947536643</v>
      </c>
      <c r="F25" s="66"/>
      <c r="G25" s="65">
        <v>3213300000</v>
      </c>
      <c r="H25" s="66"/>
      <c r="I25" s="66">
        <v>855569883</v>
      </c>
      <c r="K25" s="67">
        <f>I25/درآمدها!$J$5</f>
        <v>6.1078014485801155E-4</v>
      </c>
    </row>
    <row r="26" spans="1:11" s="131" customFormat="1" ht="19.5" customHeight="1">
      <c r="A26" s="139" t="s">
        <v>186</v>
      </c>
      <c r="B26" s="66"/>
      <c r="C26" s="66">
        <v>19819000000</v>
      </c>
      <c r="D26" s="66"/>
      <c r="E26" s="65">
        <v>0</v>
      </c>
      <c r="F26" s="66"/>
      <c r="G26" s="65">
        <v>0</v>
      </c>
      <c r="H26" s="66"/>
      <c r="I26" s="66">
        <v>19819000000</v>
      </c>
      <c r="K26" s="67">
        <f>I26/درآمدها!$J$5</f>
        <v>1.4148524780343313E-2</v>
      </c>
    </row>
    <row r="27" spans="1:11" s="131" customFormat="1" ht="19.5" customHeight="1">
      <c r="A27" s="139" t="s">
        <v>261</v>
      </c>
      <c r="B27" s="66"/>
      <c r="C27" s="66">
        <v>3466500000</v>
      </c>
      <c r="D27" s="66"/>
      <c r="E27" s="65">
        <v>0</v>
      </c>
      <c r="F27" s="66"/>
      <c r="G27" s="65">
        <v>0</v>
      </c>
      <c r="H27" s="66"/>
      <c r="I27" s="66">
        <v>3466500000</v>
      </c>
      <c r="K27" s="67">
        <f>I27/درآمدها!$J$5</f>
        <v>2.4746889929391038E-3</v>
      </c>
    </row>
    <row r="28" spans="1:11" s="131" customFormat="1" ht="19.5" customHeight="1">
      <c r="A28" s="139" t="s">
        <v>263</v>
      </c>
      <c r="B28" s="66"/>
      <c r="C28" s="66">
        <v>4077500000</v>
      </c>
      <c r="D28" s="66"/>
      <c r="E28" s="65">
        <v>0</v>
      </c>
      <c r="F28" s="66"/>
      <c r="G28" s="65">
        <v>0</v>
      </c>
      <c r="H28" s="66"/>
      <c r="I28" s="66">
        <v>4077500000</v>
      </c>
      <c r="K28" s="67">
        <f>I28/درآمدها!$J$5</f>
        <v>2.9108738983727668E-3</v>
      </c>
    </row>
    <row r="29" spans="1:11" s="131" customFormat="1" ht="19.5" customHeight="1">
      <c r="A29" s="139" t="s">
        <v>264</v>
      </c>
      <c r="B29" s="66"/>
      <c r="C29" s="66">
        <v>21518000000</v>
      </c>
      <c r="D29" s="66"/>
      <c r="E29" s="65">
        <v>0</v>
      </c>
      <c r="F29" s="66"/>
      <c r="G29" s="65">
        <v>0</v>
      </c>
      <c r="H29" s="66"/>
      <c r="I29" s="66">
        <v>21518000000</v>
      </c>
      <c r="K29" s="67">
        <f>I29/درآمدها!$J$5</f>
        <v>1.536141864995345E-2</v>
      </c>
    </row>
    <row r="30" spans="1:11" s="131" customFormat="1" ht="18">
      <c r="A30" s="139" t="s">
        <v>265</v>
      </c>
      <c r="B30" s="66"/>
      <c r="C30" s="66">
        <v>40867000000</v>
      </c>
      <c r="D30" s="66"/>
      <c r="E30" s="65">
        <v>0</v>
      </c>
      <c r="F30" s="66"/>
      <c r="G30" s="65">
        <v>0</v>
      </c>
      <c r="H30" s="66"/>
      <c r="I30" s="66">
        <v>40867000000</v>
      </c>
      <c r="K30" s="67">
        <f>I30/درآمدها!$J$5</f>
        <v>2.9174416579963176E-2</v>
      </c>
    </row>
    <row r="31" spans="1:11" s="131" customFormat="1" ht="19.5" customHeight="1">
      <c r="A31" s="139" t="s">
        <v>199</v>
      </c>
      <c r="B31" s="66"/>
      <c r="C31" s="66">
        <v>788500000</v>
      </c>
      <c r="D31" s="66"/>
      <c r="E31" s="65">
        <v>0</v>
      </c>
      <c r="F31" s="66"/>
      <c r="G31" s="65">
        <v>0</v>
      </c>
      <c r="H31" s="66"/>
      <c r="I31" s="66">
        <v>788500000</v>
      </c>
      <c r="K31" s="67">
        <f>I31/درآمدها!$J$5</f>
        <v>5.628998329532622E-4</v>
      </c>
    </row>
    <row r="32" spans="1:11" s="131" customFormat="1" ht="19.5" customHeight="1">
      <c r="A32" s="139" t="s">
        <v>178</v>
      </c>
      <c r="B32" s="66"/>
      <c r="C32" s="66">
        <v>69032500000</v>
      </c>
      <c r="D32" s="66"/>
      <c r="E32" s="65">
        <v>0</v>
      </c>
      <c r="F32" s="66"/>
      <c r="G32" s="65">
        <v>0</v>
      </c>
      <c r="H32" s="66"/>
      <c r="I32" s="66">
        <v>69032500000</v>
      </c>
      <c r="K32" s="67">
        <f>I32/درآمدها!$J$5</f>
        <v>4.9281398501390072E-2</v>
      </c>
    </row>
    <row r="33" spans="1:11" s="131" customFormat="1" ht="19.5" customHeight="1">
      <c r="A33" s="139" t="s">
        <v>177</v>
      </c>
      <c r="B33" s="66"/>
      <c r="C33" s="66">
        <v>3948500000</v>
      </c>
      <c r="D33" s="66"/>
      <c r="E33" s="65">
        <v>0</v>
      </c>
      <c r="F33" s="66"/>
      <c r="G33" s="65">
        <v>0</v>
      </c>
      <c r="H33" s="66"/>
      <c r="I33" s="66">
        <v>3948500000</v>
      </c>
      <c r="K33" s="67">
        <f>I33/درآمدها!$J$5</f>
        <v>2.8187824862599313E-3</v>
      </c>
    </row>
    <row r="34" spans="1:11" s="131" customFormat="1" ht="18">
      <c r="A34" s="139" t="s">
        <v>170</v>
      </c>
      <c r="B34" s="66"/>
      <c r="C34" s="66">
        <v>2075000000</v>
      </c>
      <c r="D34" s="66"/>
      <c r="E34" s="65">
        <v>0</v>
      </c>
      <c r="F34" s="66"/>
      <c r="G34" s="65">
        <v>0</v>
      </c>
      <c r="H34" s="66"/>
      <c r="I34" s="66">
        <v>2075000000</v>
      </c>
      <c r="K34" s="67">
        <f>I34/درآمدها!$J$5</f>
        <v>1.4813153498770058E-3</v>
      </c>
    </row>
    <row r="35" spans="1:11" s="131" customFormat="1" ht="18">
      <c r="A35" s="139" t="s">
        <v>173</v>
      </c>
      <c r="B35" s="66"/>
      <c r="C35" s="66">
        <v>440500000</v>
      </c>
      <c r="D35" s="66"/>
      <c r="E35" s="65">
        <v>0</v>
      </c>
      <c r="F35" s="66"/>
      <c r="G35" s="65">
        <v>0</v>
      </c>
      <c r="H35" s="66"/>
      <c r="I35" s="66">
        <v>440500000</v>
      </c>
      <c r="K35" s="67">
        <f>I35/درآمدها!$J$5</f>
        <v>3.1446718632328723E-4</v>
      </c>
    </row>
    <row r="36" spans="1:11" s="131" customFormat="1" ht="18">
      <c r="A36" s="139" t="s">
        <v>163</v>
      </c>
      <c r="B36" s="66"/>
      <c r="C36" s="66">
        <v>1733500000</v>
      </c>
      <c r="D36" s="66"/>
      <c r="E36" s="65">
        <v>0</v>
      </c>
      <c r="F36" s="66"/>
      <c r="G36" s="65">
        <v>0</v>
      </c>
      <c r="H36" s="66"/>
      <c r="I36" s="66">
        <v>1733500000</v>
      </c>
      <c r="K36" s="67">
        <f>I36/درآمدها!$J$5</f>
        <v>1.2375229681984528E-3</v>
      </c>
    </row>
    <row r="37" spans="1:11" s="131" customFormat="1" ht="18">
      <c r="A37" s="139" t="s">
        <v>207</v>
      </c>
      <c r="B37" s="66"/>
      <c r="C37" s="66">
        <v>936462</v>
      </c>
      <c r="D37" s="66"/>
      <c r="E37" s="65">
        <v>3833</v>
      </c>
      <c r="F37" s="66"/>
      <c r="G37" s="65">
        <v>0</v>
      </c>
      <c r="H37" s="66"/>
      <c r="I37" s="66">
        <v>940295</v>
      </c>
      <c r="K37" s="67">
        <f>I37/درآمدها!$J$5</f>
        <v>6.7126429730727667E-7</v>
      </c>
    </row>
    <row r="38" spans="1:11" s="131" customFormat="1" ht="18">
      <c r="A38" s="139" t="s">
        <v>162</v>
      </c>
      <c r="B38" s="66"/>
      <c r="C38" s="66">
        <v>7336659595</v>
      </c>
      <c r="D38" s="66"/>
      <c r="E38" s="65">
        <v>33155292291</v>
      </c>
      <c r="F38" s="66"/>
      <c r="G38" s="65">
        <v>40115840420</v>
      </c>
      <c r="H38" s="66"/>
      <c r="I38" s="66">
        <v>376111466</v>
      </c>
      <c r="K38" s="67">
        <f>I38/درآمدها!$J$5</f>
        <v>2.6850105438580411E-4</v>
      </c>
    </row>
    <row r="39" spans="1:11" s="131" customFormat="1" ht="18">
      <c r="A39" s="139" t="s">
        <v>298</v>
      </c>
      <c r="B39" s="66"/>
      <c r="C39" s="66">
        <v>0</v>
      </c>
      <c r="D39" s="66"/>
      <c r="E39" s="65">
        <v>30955000000</v>
      </c>
      <c r="F39" s="66"/>
      <c r="G39" s="65">
        <v>0</v>
      </c>
      <c r="H39" s="66"/>
      <c r="I39" s="66">
        <v>30955000000</v>
      </c>
      <c r="K39" s="67">
        <f>I39/درآمدها!$J$5</f>
        <v>2.2098369472502512E-2</v>
      </c>
    </row>
    <row r="40" spans="1:11" s="131" customFormat="1" ht="18">
      <c r="A40" s="139" t="s">
        <v>299</v>
      </c>
      <c r="B40" s="66"/>
      <c r="C40" s="66">
        <v>0</v>
      </c>
      <c r="D40" s="66"/>
      <c r="E40" s="65">
        <v>1000000000</v>
      </c>
      <c r="F40" s="66"/>
      <c r="G40" s="65">
        <v>0</v>
      </c>
      <c r="H40" s="66"/>
      <c r="I40" s="66">
        <v>1000000000</v>
      </c>
      <c r="K40" s="67">
        <f>I40/درآمدها!$J$5</f>
        <v>7.1388691560337627E-4</v>
      </c>
    </row>
    <row r="41" spans="1:11" s="131" customFormat="1" ht="18">
      <c r="A41" s="139" t="s">
        <v>300</v>
      </c>
      <c r="B41" s="66"/>
      <c r="C41" s="66">
        <v>0</v>
      </c>
      <c r="D41" s="66"/>
      <c r="E41" s="65">
        <v>8140000000</v>
      </c>
      <c r="F41" s="66"/>
      <c r="G41" s="65">
        <v>0</v>
      </c>
      <c r="H41" s="66"/>
      <c r="I41" s="66">
        <v>8140000000</v>
      </c>
      <c r="K41" s="67">
        <f>I41/درآمدها!$J$5</f>
        <v>5.8110394930114828E-3</v>
      </c>
    </row>
    <row r="42" spans="1:11" s="131" customFormat="1" ht="18">
      <c r="A42" s="139" t="s">
        <v>95</v>
      </c>
      <c r="B42" s="66"/>
      <c r="C42" s="66">
        <v>1259484</v>
      </c>
      <c r="D42" s="66"/>
      <c r="E42" s="65">
        <v>5155</v>
      </c>
      <c r="F42" s="66"/>
      <c r="G42" s="65">
        <v>0</v>
      </c>
      <c r="H42" s="66"/>
      <c r="I42" s="66">
        <v>1264639</v>
      </c>
      <c r="K42" s="67">
        <f>I42/درآمدها!$J$5</f>
        <v>9.0280923506173811E-7</v>
      </c>
    </row>
    <row r="43" spans="1:11" s="131" customFormat="1" ht="18.75" thickBot="1">
      <c r="A43" s="139" t="s">
        <v>97</v>
      </c>
      <c r="B43" s="66"/>
      <c r="C43" s="66">
        <v>25497850132</v>
      </c>
      <c r="D43" s="66"/>
      <c r="E43" s="65">
        <v>403447979194</v>
      </c>
      <c r="F43" s="66"/>
      <c r="G43" s="65">
        <v>423453240537</v>
      </c>
      <c r="H43" s="66"/>
      <c r="I43" s="66">
        <v>5492588789</v>
      </c>
      <c r="K43" s="67">
        <f>I43/درآمدها!$J$5</f>
        <v>3.9210872692568939E-3</v>
      </c>
    </row>
    <row r="44" spans="1:11" s="232" customFormat="1" ht="18.75" thickBot="1">
      <c r="A44" s="139"/>
      <c r="B44" s="66"/>
      <c r="C44" s="399">
        <f>SUM(C9:C43)</f>
        <v>639319899277</v>
      </c>
      <c r="D44" s="291">
        <f t="shared" ref="D44:J44" si="0">SUM(D9:D43)</f>
        <v>0</v>
      </c>
      <c r="E44" s="399">
        <f>SUM(E9:E43)</f>
        <v>599167715061</v>
      </c>
      <c r="F44" s="291">
        <f t="shared" si="0"/>
        <v>0</v>
      </c>
      <c r="G44" s="399">
        <f>SUM(G9:G43)</f>
        <v>652581180685</v>
      </c>
      <c r="H44" s="291">
        <f t="shared" si="0"/>
        <v>0</v>
      </c>
      <c r="I44" s="399">
        <f>SUM(I9:I43)</f>
        <v>585906433653</v>
      </c>
      <c r="J44" s="291">
        <f t="shared" si="0"/>
        <v>0</v>
      </c>
      <c r="K44" s="400">
        <f>SUM(K9:K43)</f>
        <v>0.41827093675271426</v>
      </c>
    </row>
    <row r="45" spans="1:11" ht="15.75" thickTop="1"/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2" type="noConversion"/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9"/>
  <sheetViews>
    <sheetView rightToLeft="1" view="pageBreakPreview" zoomScaleNormal="100" zoomScaleSheetLayoutView="100" workbookViewId="0">
      <selection activeCell="I7" sqref="I7:I9"/>
    </sheetView>
  </sheetViews>
  <sheetFormatPr defaultColWidth="9.140625" defaultRowHeight="18"/>
  <cols>
    <col min="1" max="1" width="69.5703125" style="155" bestFit="1" customWidth="1"/>
    <col min="2" max="2" width="1" style="155" customWidth="1"/>
    <col min="3" max="3" width="10.85546875" style="7" bestFit="1" customWidth="1"/>
    <col min="4" max="4" width="1.140625" style="7" customWidth="1"/>
    <col min="5" max="5" width="25.28515625" style="79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38" bestFit="1" customWidth="1"/>
    <col min="11" max="11" width="21.140625" style="238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25" t="s">
        <v>80</v>
      </c>
      <c r="B1" s="325"/>
      <c r="C1" s="325"/>
      <c r="D1" s="325"/>
      <c r="E1" s="325"/>
      <c r="F1" s="325"/>
      <c r="G1" s="325"/>
      <c r="H1" s="325"/>
      <c r="I1" s="325"/>
      <c r="J1" s="225"/>
      <c r="K1" s="225"/>
    </row>
    <row r="2" spans="1:14" ht="21">
      <c r="A2" s="325" t="s">
        <v>44</v>
      </c>
      <c r="B2" s="325"/>
      <c r="C2" s="325"/>
      <c r="D2" s="325"/>
      <c r="E2" s="325"/>
      <c r="F2" s="325"/>
      <c r="G2" s="325"/>
      <c r="H2" s="325"/>
      <c r="I2" s="325"/>
      <c r="J2" s="233"/>
      <c r="K2" s="225"/>
    </row>
    <row r="3" spans="1:14" ht="21.75" thickBot="1">
      <c r="A3" s="325" t="str">
        <f>سپرده!A3</f>
        <v>برای ماه منتهی به 1403/09/30</v>
      </c>
      <c r="B3" s="325"/>
      <c r="C3" s="325"/>
      <c r="D3" s="325"/>
      <c r="E3" s="325"/>
      <c r="F3" s="325"/>
      <c r="G3" s="325"/>
      <c r="H3" s="325"/>
      <c r="I3" s="325"/>
      <c r="J3" s="234"/>
      <c r="K3" s="234"/>
    </row>
    <row r="4" spans="1:14" ht="21.75" thickBot="1">
      <c r="A4" s="141" t="s">
        <v>25</v>
      </c>
      <c r="B4" s="142"/>
      <c r="C4" s="142"/>
      <c r="D4" s="142"/>
      <c r="E4" s="142"/>
      <c r="F4" s="142"/>
      <c r="G4" s="142"/>
      <c r="H4" s="142"/>
      <c r="I4" s="142"/>
      <c r="J4" s="263">
        <v>704100838057</v>
      </c>
      <c r="K4" s="261" t="s">
        <v>79</v>
      </c>
      <c r="M4" s="143"/>
    </row>
    <row r="5" spans="1:14" ht="21.75" customHeight="1" thickBot="1">
      <c r="A5" s="141"/>
      <c r="B5" s="141"/>
      <c r="C5" s="141"/>
      <c r="D5" s="141"/>
      <c r="E5" s="337" t="s">
        <v>291</v>
      </c>
      <c r="F5" s="337"/>
      <c r="G5" s="337"/>
      <c r="H5" s="337"/>
      <c r="I5" s="337"/>
      <c r="J5" s="263">
        <v>1400782082068</v>
      </c>
      <c r="K5" s="262" t="s">
        <v>92</v>
      </c>
    </row>
    <row r="6" spans="1:14" ht="21.75" customHeight="1" thickBot="1">
      <c r="A6" s="144" t="s">
        <v>32</v>
      </c>
      <c r="B6" s="145"/>
      <c r="C6" s="146" t="s">
        <v>33</v>
      </c>
      <c r="D6" s="138"/>
      <c r="E6" s="147" t="s">
        <v>6</v>
      </c>
      <c r="F6" s="138"/>
      <c r="G6" s="146" t="s">
        <v>17</v>
      </c>
      <c r="H6" s="138"/>
      <c r="I6" s="146" t="s">
        <v>78</v>
      </c>
      <c r="J6" s="182"/>
      <c r="K6" s="183"/>
    </row>
    <row r="7" spans="1:14" ht="21" customHeight="1">
      <c r="A7" s="148" t="s">
        <v>107</v>
      </c>
      <c r="B7" s="148"/>
      <c r="C7" s="149" t="s">
        <v>46</v>
      </c>
      <c r="D7" s="142"/>
      <c r="E7" s="150">
        <v>0</v>
      </c>
      <c r="F7" s="142"/>
      <c r="G7" s="211">
        <f>E7/$E$12</f>
        <v>0</v>
      </c>
      <c r="H7" s="151"/>
      <c r="I7" s="212">
        <f>E7/$J$5</f>
        <v>0</v>
      </c>
      <c r="J7" s="184">
        <v>1518326958573</v>
      </c>
      <c r="K7" s="235"/>
      <c r="L7" s="152"/>
      <c r="M7" s="159"/>
    </row>
    <row r="8" spans="1:14" ht="21" customHeight="1">
      <c r="A8" s="148" t="s">
        <v>326</v>
      </c>
      <c r="B8" s="148"/>
      <c r="C8" s="149" t="s">
        <v>47</v>
      </c>
      <c r="D8" s="142"/>
      <c r="E8" s="150">
        <f>'درآمد سرمایه گذاری در صندوق'!R11</f>
        <v>152444</v>
      </c>
      <c r="F8" s="142"/>
      <c r="G8" s="211">
        <f t="shared" ref="G8:G9" si="0">E8/$E$12</f>
        <v>2.1853460437616927E-7</v>
      </c>
      <c r="H8" s="151"/>
      <c r="I8" s="212">
        <f t="shared" ref="I8:I9" si="1">E8/$J$5</f>
        <v>1.088277769622411E-7</v>
      </c>
      <c r="J8" s="184"/>
      <c r="K8" s="235"/>
      <c r="L8" s="152"/>
      <c r="M8" s="159"/>
    </row>
    <row r="9" spans="1:14" ht="18.75" customHeight="1">
      <c r="A9" s="148" t="s">
        <v>41</v>
      </c>
      <c r="B9" s="148"/>
      <c r="C9" s="149" t="s">
        <v>48</v>
      </c>
      <c r="D9" s="142"/>
      <c r="E9" s="150">
        <f>'درآمد سرمایه گذاری در اوراق بها'!Q22</f>
        <v>433932379316</v>
      </c>
      <c r="F9" s="142"/>
      <c r="G9" s="211">
        <f t="shared" si="0"/>
        <v>0.6220595158866985</v>
      </c>
      <c r="H9" s="151"/>
      <c r="I9" s="212">
        <f t="shared" si="1"/>
        <v>0.30977864785033354</v>
      </c>
      <c r="J9" s="152"/>
      <c r="K9" s="152"/>
      <c r="L9" s="152"/>
      <c r="M9" s="158"/>
      <c r="N9" s="158"/>
    </row>
    <row r="10" spans="1:14" ht="18.75" customHeight="1">
      <c r="A10" s="148" t="s">
        <v>42</v>
      </c>
      <c r="B10" s="148"/>
      <c r="C10" s="149" t="s">
        <v>49</v>
      </c>
      <c r="D10" s="142"/>
      <c r="E10" s="150">
        <f>'درآمد سپرده بانکی'!I129</f>
        <v>263623243647.2616</v>
      </c>
      <c r="F10" s="142"/>
      <c r="G10" s="211">
        <f t="shared" ref="G10:G11" si="2">E10/$E$12</f>
        <v>0.37791452110162937</v>
      </c>
      <c r="H10" s="151"/>
      <c r="I10" s="212">
        <f t="shared" ref="I10:I11" si="3">E10/$J$5</f>
        <v>0.18819718428870094</v>
      </c>
      <c r="J10" s="152"/>
      <c r="K10" s="152"/>
      <c r="L10" s="152"/>
      <c r="M10" s="158"/>
    </row>
    <row r="11" spans="1:14" ht="19.5" customHeight="1" thickBot="1">
      <c r="A11" s="148" t="s">
        <v>27</v>
      </c>
      <c r="B11" s="148"/>
      <c r="C11" s="149" t="s">
        <v>327</v>
      </c>
      <c r="D11" s="142"/>
      <c r="E11" s="267">
        <f>'سایر درآمدها'!E9</f>
        <v>17958671</v>
      </c>
      <c r="F11" s="142"/>
      <c r="G11" s="211">
        <f t="shared" si="2"/>
        <v>2.5744477067689013E-5</v>
      </c>
      <c r="H11" s="151"/>
      <c r="I11" s="212">
        <f t="shared" si="3"/>
        <v>1.28204602485258E-5</v>
      </c>
      <c r="J11" s="152"/>
      <c r="K11" s="152"/>
      <c r="L11" s="152"/>
    </row>
    <row r="12" spans="1:14" ht="19.5" customHeight="1" thickBot="1">
      <c r="A12" s="148" t="s">
        <v>2</v>
      </c>
      <c r="B12" s="153"/>
      <c r="C12" s="131"/>
      <c r="D12" s="131"/>
      <c r="E12" s="154">
        <f>SUM(E7:E11)</f>
        <v>697573734078.2616</v>
      </c>
      <c r="F12" s="131"/>
      <c r="G12" s="213">
        <f>SUM(G7:G11)</f>
        <v>1</v>
      </c>
      <c r="H12" s="214"/>
      <c r="I12" s="215">
        <f>SUM(I7:I11)</f>
        <v>0.49798876142705994</v>
      </c>
      <c r="J12" s="152"/>
      <c r="K12" s="152"/>
      <c r="L12" s="152"/>
    </row>
    <row r="13" spans="1:14" ht="18.75" customHeight="1" thickTop="1">
      <c r="J13" s="152"/>
      <c r="K13" s="152"/>
      <c r="L13" s="152"/>
    </row>
    <row r="14" spans="1:14" ht="18" customHeight="1">
      <c r="E14" s="194"/>
      <c r="F14" s="157"/>
      <c r="G14" s="157"/>
      <c r="I14" s="158"/>
      <c r="J14" s="152"/>
      <c r="K14" s="152"/>
      <c r="L14" s="152"/>
    </row>
    <row r="15" spans="1:14" ht="18" customHeight="1">
      <c r="E15" s="194"/>
      <c r="F15" s="157"/>
      <c r="G15" s="157"/>
      <c r="J15" s="152"/>
      <c r="K15" s="152"/>
      <c r="L15" s="152"/>
    </row>
    <row r="16" spans="1:14" ht="18" customHeight="1">
      <c r="E16" s="159"/>
      <c r="F16" s="157"/>
      <c r="G16" s="157"/>
      <c r="H16" s="157"/>
      <c r="J16" s="237"/>
      <c r="K16" s="152"/>
      <c r="L16" s="152"/>
      <c r="M16" s="152"/>
    </row>
    <row r="17" spans="2:11" ht="18" customHeight="1">
      <c r="E17" s="160"/>
      <c r="F17" s="157"/>
      <c r="G17" s="157"/>
      <c r="I17" s="158"/>
      <c r="J17" s="161"/>
      <c r="K17" s="161"/>
    </row>
    <row r="18" spans="2:11" ht="17.45" customHeight="1">
      <c r="B18" s="248">
        <v>-356455</v>
      </c>
      <c r="E18" s="157"/>
      <c r="F18" s="157"/>
      <c r="G18" s="157"/>
      <c r="I18" s="158"/>
      <c r="J18" s="161"/>
      <c r="K18" s="161"/>
    </row>
    <row r="19" spans="2:11" ht="17.45" customHeight="1">
      <c r="B19" s="248">
        <v>-205678</v>
      </c>
      <c r="E19" s="157"/>
      <c r="F19" s="157"/>
      <c r="G19" s="157"/>
      <c r="K19" s="239"/>
    </row>
    <row r="20" spans="2:11" ht="17.45" customHeight="1">
      <c r="B20" s="248">
        <v>-566700</v>
      </c>
      <c r="E20" s="157"/>
      <c r="K20" s="239"/>
    </row>
    <row r="21" spans="2:11">
      <c r="B21" s="248">
        <v>-13277232</v>
      </c>
      <c r="C21" s="156"/>
      <c r="E21" s="156"/>
      <c r="G21" s="156"/>
      <c r="J21" s="236"/>
      <c r="K21" s="239"/>
    </row>
    <row r="22" spans="2:11">
      <c r="B22" s="248">
        <v>-44132676</v>
      </c>
      <c r="C22" s="159"/>
      <c r="G22" s="156"/>
      <c r="J22" s="236"/>
      <c r="K22" s="239"/>
    </row>
    <row r="23" spans="2:11">
      <c r="B23" s="248">
        <v>-669467</v>
      </c>
      <c r="G23" s="156"/>
      <c r="K23" s="239"/>
    </row>
    <row r="24" spans="2:11">
      <c r="B24" s="248">
        <v>-278224</v>
      </c>
      <c r="G24" s="159"/>
      <c r="K24" s="239"/>
    </row>
    <row r="25" spans="2:11">
      <c r="B25" s="248">
        <v>-2331466</v>
      </c>
      <c r="K25" s="239"/>
    </row>
    <row r="26" spans="2:11">
      <c r="B26" s="248">
        <v>-17573113</v>
      </c>
      <c r="K26" s="239"/>
    </row>
    <row r="27" spans="2:11">
      <c r="B27" s="248">
        <v>-1408954</v>
      </c>
      <c r="K27" s="239"/>
    </row>
    <row r="28" spans="2:11" ht="18.75" customHeight="1">
      <c r="B28" s="248">
        <v>-1015178</v>
      </c>
      <c r="K28" s="239"/>
    </row>
    <row r="29" spans="2:11">
      <c r="B29" s="248">
        <v>-14498169</v>
      </c>
      <c r="K29" s="239"/>
    </row>
    <row r="30" spans="2:11">
      <c r="B30" s="248">
        <v>-470772</v>
      </c>
      <c r="K30" s="239"/>
    </row>
    <row r="31" spans="2:11">
      <c r="B31" s="248">
        <v>-854039</v>
      </c>
      <c r="K31" s="239"/>
    </row>
    <row r="32" spans="2:11">
      <c r="B32" s="248">
        <v>-2219417</v>
      </c>
      <c r="K32" s="239"/>
    </row>
    <row r="33" spans="2:11">
      <c r="B33" s="248">
        <v>-3940834</v>
      </c>
      <c r="K33" s="239"/>
    </row>
    <row r="34" spans="2:11">
      <c r="K34" s="239"/>
    </row>
    <row r="35" spans="2:11">
      <c r="K35" s="239"/>
    </row>
    <row r="37" spans="2:11" ht="18.75" customHeight="1"/>
    <row r="38" spans="2:11" ht="17.45" customHeight="1"/>
    <row r="39" spans="2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55" zoomScaleNormal="100" zoomScaleSheetLayoutView="55" workbookViewId="0">
      <selection sqref="A1:U3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38" t="s">
        <v>80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</row>
    <row r="2" spans="1:21" ht="27.75">
      <c r="A2" s="338" t="s">
        <v>50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</row>
    <row r="3" spans="1:21" ht="27.75">
      <c r="A3" s="338" t="str">
        <f>' سهام'!A3:W3</f>
        <v>برای ماه منتهی به 1403/09/30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</row>
    <row r="5" spans="1:21" s="39" customFormat="1" ht="27.75">
      <c r="A5" s="311" t="s">
        <v>26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44" t="s">
        <v>292</v>
      </c>
      <c r="D7" s="344"/>
      <c r="E7" s="344"/>
      <c r="F7" s="344"/>
      <c r="G7" s="344"/>
      <c r="H7" s="344"/>
      <c r="I7" s="344"/>
      <c r="J7" s="344"/>
      <c r="K7" s="344"/>
      <c r="L7" s="9"/>
      <c r="M7" s="344" t="s">
        <v>293</v>
      </c>
      <c r="N7" s="344"/>
      <c r="O7" s="344"/>
      <c r="P7" s="344"/>
      <c r="Q7" s="344"/>
      <c r="R7" s="344"/>
      <c r="S7" s="344"/>
      <c r="T7" s="344"/>
      <c r="U7" s="344"/>
    </row>
    <row r="8" spans="1:21" s="19" customFormat="1" ht="24.75" customHeight="1">
      <c r="A8" s="353" t="s">
        <v>22</v>
      </c>
      <c r="B8" s="353"/>
      <c r="C8" s="339" t="s">
        <v>10</v>
      </c>
      <c r="D8" s="355"/>
      <c r="E8" s="341" t="s">
        <v>11</v>
      </c>
      <c r="F8" s="348"/>
      <c r="G8" s="341" t="s">
        <v>12</v>
      </c>
      <c r="H8" s="351"/>
      <c r="I8" s="343" t="s">
        <v>2</v>
      </c>
      <c r="J8" s="343"/>
      <c r="K8" s="343"/>
      <c r="L8" s="353"/>
      <c r="M8" s="339" t="s">
        <v>10</v>
      </c>
      <c r="N8" s="345"/>
      <c r="O8" s="341" t="s">
        <v>11</v>
      </c>
      <c r="P8" s="348"/>
      <c r="Q8" s="341" t="s">
        <v>12</v>
      </c>
      <c r="R8" s="348"/>
      <c r="S8" s="343" t="s">
        <v>2</v>
      </c>
      <c r="T8" s="343"/>
      <c r="U8" s="343"/>
    </row>
    <row r="9" spans="1:21" s="19" customFormat="1" ht="6" customHeight="1" thickBot="1">
      <c r="A9" s="353"/>
      <c r="B9" s="353"/>
      <c r="C9" s="340"/>
      <c r="D9" s="353"/>
      <c r="E9" s="342"/>
      <c r="F9" s="349"/>
      <c r="G9" s="342"/>
      <c r="H9" s="352"/>
      <c r="I9" s="344"/>
      <c r="J9" s="344"/>
      <c r="K9" s="344"/>
      <c r="L9" s="353"/>
      <c r="M9" s="340"/>
      <c r="N9" s="346"/>
      <c r="O9" s="342"/>
      <c r="P9" s="349"/>
      <c r="Q9" s="342"/>
      <c r="R9" s="349"/>
      <c r="S9" s="344"/>
      <c r="T9" s="344"/>
      <c r="U9" s="344"/>
    </row>
    <row r="10" spans="1:21" s="19" customFormat="1" ht="42.75" customHeight="1" thickBot="1">
      <c r="A10" s="354"/>
      <c r="B10" s="353"/>
      <c r="C10" s="50" t="s">
        <v>53</v>
      </c>
      <c r="D10" s="353"/>
      <c r="E10" s="51" t="s">
        <v>54</v>
      </c>
      <c r="F10" s="350"/>
      <c r="G10" s="51" t="s">
        <v>55</v>
      </c>
      <c r="H10" s="352"/>
      <c r="I10" s="10" t="s">
        <v>6</v>
      </c>
      <c r="J10" s="10"/>
      <c r="K10" s="49" t="s">
        <v>17</v>
      </c>
      <c r="L10" s="353"/>
      <c r="M10" s="50" t="s">
        <v>53</v>
      </c>
      <c r="N10" s="347"/>
      <c r="O10" s="51" t="s">
        <v>54</v>
      </c>
      <c r="P10" s="350"/>
      <c r="Q10" s="51" t="s">
        <v>55</v>
      </c>
      <c r="R10" s="350"/>
      <c r="S10" s="11" t="s">
        <v>6</v>
      </c>
      <c r="T10" s="11"/>
      <c r="U10" s="49" t="s">
        <v>17</v>
      </c>
    </row>
    <row r="11" spans="1:21" s="20" customFormat="1" ht="48">
      <c r="A11" s="269" t="s">
        <v>281</v>
      </c>
      <c r="C11" s="69">
        <f>IFERROR(VLOOKUP(A11,'سود اوراق بهادار'!$A$7:$Q$13,11,0),0)</f>
        <v>0</v>
      </c>
      <c r="D11" s="30"/>
      <c r="E11" s="69">
        <f>IFERROR(VLOOKUP(A11,'درآمد ناشی از تغییر قیمت اوراق '!$A$7:$Q$10,9,0),0)</f>
        <v>0</v>
      </c>
      <c r="F11" s="135"/>
      <c r="G11" s="69">
        <f>IFERROR(VLOOKUP(A11,'درآمد ناشی ازفروش'!$A$7:$Q$16,9,0),0)</f>
        <v>0</v>
      </c>
      <c r="H11" s="135"/>
      <c r="I11" s="69">
        <f>G11+E11+C11</f>
        <v>0</v>
      </c>
      <c r="K11" s="58">
        <v>0</v>
      </c>
      <c r="M11" s="69">
        <f>IFERROR(VLOOKUP(C11,'سود اوراق بهادار'!$A$7:$Q$13,17,0),0)</f>
        <v>0</v>
      </c>
      <c r="N11" s="171"/>
      <c r="O11" s="69">
        <f>IFERROR(VLOOKUP(C11,'درآمد ناشی از تغییر قیمت اوراق '!$A$7:$Q$10,17,0),0)</f>
        <v>0</v>
      </c>
      <c r="P11" s="135"/>
      <c r="Q11" s="69">
        <f>IFERROR(VLOOKUP(C11,'درآمد ناشی ازفروش'!$A$7:$Q$16,17,0),0)</f>
        <v>0</v>
      </c>
      <c r="R11" s="135"/>
      <c r="S11" s="69">
        <f t="shared" ref="S11" si="0"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15E5-73A2-46D4-B5E9-51E071AE912D}">
  <dimension ref="A1:S13"/>
  <sheetViews>
    <sheetView rightToLeft="1" view="pageBreakPreview" zoomScale="110" zoomScaleNormal="100" zoomScaleSheetLayoutView="110" workbookViewId="0">
      <selection activeCell="P12" sqref="P12"/>
    </sheetView>
  </sheetViews>
  <sheetFormatPr defaultColWidth="9.140625" defaultRowHeight="15.75"/>
  <cols>
    <col min="1" max="1" width="45.5703125" style="277" bestFit="1" customWidth="1"/>
    <col min="2" max="2" width="0.5703125" style="277" customWidth="1"/>
    <col min="3" max="3" width="9.140625" style="277" customWidth="1"/>
    <col min="4" max="4" width="0.42578125" style="277" customWidth="1"/>
    <col min="5" max="5" width="9.140625" style="277"/>
    <col min="6" max="6" width="0.85546875" style="277" customWidth="1"/>
    <col min="7" max="7" width="9.140625" style="277"/>
    <col min="8" max="8" width="1" style="277" customWidth="1"/>
    <col min="9" max="9" width="9.140625" style="277"/>
    <col min="10" max="10" width="12.5703125" style="277" customWidth="1"/>
    <col min="11" max="11" width="0.7109375" style="277" customWidth="1"/>
    <col min="12" max="12" width="9.140625" style="277"/>
    <col min="13" max="13" width="0.5703125" style="277" customWidth="1"/>
    <col min="14" max="14" width="9.140625" style="277"/>
    <col min="15" max="15" width="0.85546875" style="277" customWidth="1"/>
    <col min="16" max="16" width="9.85546875" style="277" bestFit="1" customWidth="1"/>
    <col min="17" max="17" width="0.85546875" style="277" customWidth="1"/>
    <col min="18" max="18" width="9.85546875" style="277" bestFit="1" customWidth="1"/>
    <col min="19" max="19" width="10.5703125" style="277" customWidth="1"/>
    <col min="20" max="16384" width="9.140625" style="277"/>
  </cols>
  <sheetData>
    <row r="1" spans="1:19" ht="21">
      <c r="A1" s="356" t="s">
        <v>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21">
      <c r="A2" s="356" t="s">
        <v>50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</row>
    <row r="3" spans="1:19" ht="21">
      <c r="A3" s="356" t="s">
        <v>290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</row>
    <row r="5" spans="1:19" ht="25.5">
      <c r="A5" s="357" t="s">
        <v>319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7" spans="1:19" ht="19.5" customHeight="1" thickBot="1">
      <c r="A7" s="278"/>
      <c r="B7" s="279"/>
      <c r="C7" s="358" t="s">
        <v>292</v>
      </c>
      <c r="D7" s="358"/>
      <c r="E7" s="358"/>
      <c r="F7" s="358"/>
      <c r="G7" s="358"/>
      <c r="H7" s="358"/>
      <c r="I7" s="358"/>
      <c r="J7" s="358"/>
      <c r="K7" s="279"/>
      <c r="L7" s="358" t="s">
        <v>294</v>
      </c>
      <c r="M7" s="358"/>
      <c r="N7" s="358"/>
      <c r="O7" s="358"/>
      <c r="P7" s="358"/>
      <c r="Q7" s="358"/>
      <c r="R7" s="358"/>
      <c r="S7" s="358"/>
    </row>
    <row r="8" spans="1:19" ht="19.5" customHeight="1">
      <c r="A8" s="361" t="s">
        <v>320</v>
      </c>
      <c r="B8" s="360"/>
      <c r="C8" s="363" t="s">
        <v>321</v>
      </c>
      <c r="D8" s="359"/>
      <c r="E8" s="363" t="s">
        <v>11</v>
      </c>
      <c r="F8" s="359"/>
      <c r="G8" s="363" t="s">
        <v>12</v>
      </c>
      <c r="H8" s="359"/>
      <c r="I8" s="363" t="s">
        <v>2</v>
      </c>
      <c r="J8" s="363"/>
      <c r="K8" s="360"/>
      <c r="L8" s="363" t="s">
        <v>321</v>
      </c>
      <c r="M8" s="359"/>
      <c r="N8" s="363" t="s">
        <v>11</v>
      </c>
      <c r="O8" s="359"/>
      <c r="P8" s="363" t="s">
        <v>12</v>
      </c>
      <c r="Q8" s="359"/>
      <c r="R8" s="363" t="s">
        <v>2</v>
      </c>
      <c r="S8" s="363"/>
    </row>
    <row r="9" spans="1:19" ht="18.75" customHeight="1" thickBot="1">
      <c r="A9" s="361"/>
      <c r="B9" s="360"/>
      <c r="C9" s="364"/>
      <c r="D9" s="360"/>
      <c r="E9" s="364"/>
      <c r="F9" s="360"/>
      <c r="G9" s="364"/>
      <c r="H9" s="360"/>
      <c r="I9" s="358"/>
      <c r="J9" s="358"/>
      <c r="K9" s="360"/>
      <c r="L9" s="364"/>
      <c r="M9" s="360"/>
      <c r="N9" s="364"/>
      <c r="O9" s="360"/>
      <c r="P9" s="364"/>
      <c r="Q9" s="360"/>
      <c r="R9" s="358"/>
      <c r="S9" s="358"/>
    </row>
    <row r="10" spans="1:19" ht="28.5" customHeight="1" thickBot="1">
      <c r="A10" s="362"/>
      <c r="B10" s="360"/>
      <c r="C10" s="281" t="s">
        <v>322</v>
      </c>
      <c r="D10" s="360"/>
      <c r="E10" s="281" t="s">
        <v>54</v>
      </c>
      <c r="F10" s="360"/>
      <c r="G10" s="281" t="s">
        <v>55</v>
      </c>
      <c r="H10" s="360"/>
      <c r="I10" s="282" t="s">
        <v>6</v>
      </c>
      <c r="J10" s="282" t="s">
        <v>323</v>
      </c>
      <c r="K10" s="360"/>
      <c r="L10" s="281" t="s">
        <v>322</v>
      </c>
      <c r="M10" s="360"/>
      <c r="N10" s="281" t="s">
        <v>54</v>
      </c>
      <c r="O10" s="360"/>
      <c r="P10" s="281" t="s">
        <v>55</v>
      </c>
      <c r="Q10" s="360"/>
      <c r="R10" s="282" t="s">
        <v>6</v>
      </c>
      <c r="S10" s="282" t="s">
        <v>323</v>
      </c>
    </row>
    <row r="11" spans="1:19" ht="22.5" customHeight="1">
      <c r="A11" s="256" t="s">
        <v>281</v>
      </c>
      <c r="B11" s="280"/>
      <c r="C11" s="284">
        <v>0</v>
      </c>
      <c r="D11" s="280"/>
      <c r="E11" s="284">
        <v>0</v>
      </c>
      <c r="F11" s="280"/>
      <c r="G11" s="284">
        <v>0</v>
      </c>
      <c r="H11" s="280"/>
      <c r="I11" s="284">
        <f>C11+E11+G11</f>
        <v>0</v>
      </c>
      <c r="J11" s="285">
        <v>0</v>
      </c>
      <c r="K11" s="280"/>
      <c r="L11" s="284">
        <v>0</v>
      </c>
      <c r="M11" s="280"/>
      <c r="N11" s="284">
        <v>0</v>
      </c>
      <c r="O11" s="280"/>
      <c r="P11" s="284">
        <f>'درآمد ناشی ازفروش'!Q7</f>
        <v>152444</v>
      </c>
      <c r="Q11" s="280"/>
      <c r="R11" s="284">
        <f>L11+N11+P11</f>
        <v>152444</v>
      </c>
      <c r="S11" s="288">
        <f>R11/درآمدها!J4</f>
        <v>2.1650876090515177E-7</v>
      </c>
    </row>
    <row r="12" spans="1:19" ht="16.5" thickBot="1">
      <c r="A12" s="283" t="s">
        <v>2</v>
      </c>
      <c r="B12" s="280"/>
      <c r="C12" s="287">
        <f>SUM(C11)</f>
        <v>0</v>
      </c>
      <c r="D12" s="286">
        <f t="shared" ref="D12:S12" si="0">SUM(D11)</f>
        <v>0</v>
      </c>
      <c r="E12" s="287">
        <f t="shared" si="0"/>
        <v>0</v>
      </c>
      <c r="F12" s="286">
        <f t="shared" si="0"/>
        <v>0</v>
      </c>
      <c r="G12" s="287">
        <f t="shared" si="0"/>
        <v>0</v>
      </c>
      <c r="H12" s="286">
        <f t="shared" si="0"/>
        <v>0</v>
      </c>
      <c r="I12" s="287">
        <f t="shared" si="0"/>
        <v>0</v>
      </c>
      <c r="J12" s="287">
        <f t="shared" si="0"/>
        <v>0</v>
      </c>
      <c r="K12" s="286">
        <f t="shared" si="0"/>
        <v>0</v>
      </c>
      <c r="L12" s="287">
        <f t="shared" si="0"/>
        <v>0</v>
      </c>
      <c r="M12" s="286">
        <f t="shared" si="0"/>
        <v>0</v>
      </c>
      <c r="N12" s="287">
        <f t="shared" si="0"/>
        <v>0</v>
      </c>
      <c r="O12" s="286">
        <f t="shared" si="0"/>
        <v>0</v>
      </c>
      <c r="P12" s="401">
        <f t="shared" si="0"/>
        <v>152444</v>
      </c>
      <c r="Q12" s="286">
        <f t="shared" si="0"/>
        <v>0</v>
      </c>
      <c r="R12" s="287">
        <f t="shared" si="0"/>
        <v>152444</v>
      </c>
      <c r="S12" s="287">
        <f t="shared" si="0"/>
        <v>2.1650876090515177E-7</v>
      </c>
    </row>
    <row r="13" spans="1:19" ht="16.5" thickTop="1"/>
  </sheetData>
  <mergeCells count="23">
    <mergeCell ref="N8:N9"/>
    <mergeCell ref="O8:O10"/>
    <mergeCell ref="P8:P9"/>
    <mergeCell ref="Q8:Q10"/>
    <mergeCell ref="R8:S9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A1:S1"/>
    <mergeCell ref="A2:S2"/>
    <mergeCell ref="A3:S3"/>
    <mergeCell ref="A5:S5"/>
    <mergeCell ref="C7:J7"/>
    <mergeCell ref="L7:S7"/>
  </mergeCells>
  <pageMargins left="0.7" right="0.7" top="0.75" bottom="0.75" header="0.3" footer="0.3"/>
  <pageSetup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3"/>
  <sheetViews>
    <sheetView rightToLeft="1" view="pageBreakPreview" topLeftCell="A7" zoomScale="85" zoomScaleNormal="100" zoomScaleSheetLayoutView="85" workbookViewId="0">
      <selection activeCell="I22" sqref="I22"/>
    </sheetView>
  </sheetViews>
  <sheetFormatPr defaultColWidth="9.140625" defaultRowHeight="21.75"/>
  <cols>
    <col min="1" max="1" width="38.85546875" style="105" customWidth="1"/>
    <col min="2" max="2" width="0.42578125" style="105" customWidth="1"/>
    <col min="3" max="3" width="21.140625" style="105" bestFit="1" customWidth="1"/>
    <col min="4" max="4" width="0.7109375" style="105" customWidth="1"/>
    <col min="5" max="5" width="20" style="105" bestFit="1" customWidth="1"/>
    <col min="6" max="6" width="0.5703125" style="105" customWidth="1"/>
    <col min="7" max="7" width="21" style="105" customWidth="1"/>
    <col min="8" max="8" width="0.5703125" style="105" customWidth="1"/>
    <col min="9" max="9" width="22.85546875" style="105" bestFit="1" customWidth="1"/>
    <col min="10" max="10" width="0.42578125" style="105" customWidth="1"/>
    <col min="11" max="11" width="22.85546875" style="105" bestFit="1" customWidth="1"/>
    <col min="12" max="12" width="0.5703125" style="105" customWidth="1"/>
    <col min="13" max="13" width="21.140625" style="105" bestFit="1" customWidth="1"/>
    <col min="14" max="14" width="0.85546875" style="105" customWidth="1"/>
    <col min="15" max="15" width="21.140625" style="105" bestFit="1" customWidth="1"/>
    <col min="16" max="16" width="0.5703125" style="105" customWidth="1"/>
    <col min="17" max="17" width="22.85546875" style="105" bestFit="1" customWidth="1"/>
    <col min="18" max="18" width="9.140625" style="105"/>
    <col min="19" max="19" width="12.7109375" style="105" bestFit="1" customWidth="1"/>
    <col min="20" max="16384" width="9.140625" style="105"/>
  </cols>
  <sheetData>
    <row r="1" spans="1:17" ht="21" customHeight="1">
      <c r="A1" s="365" t="s">
        <v>80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17" ht="21.75" customHeight="1">
      <c r="A2" s="365" t="s">
        <v>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</row>
    <row r="3" spans="1:17" ht="23.25" customHeight="1">
      <c r="A3" s="365" t="str">
        <f>' سهام'!A3:W3</f>
        <v>برای ماه منتهی به 1403/09/30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4" spans="1:17">
      <c r="A4" s="328" t="s">
        <v>324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</row>
    <row r="5" spans="1:17" ht="4.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ht="22.5" customHeight="1" thickBot="1">
      <c r="A6" s="169"/>
      <c r="B6" s="170"/>
      <c r="C6" s="368" t="s">
        <v>292</v>
      </c>
      <c r="D6" s="368"/>
      <c r="E6" s="368"/>
      <c r="F6" s="368"/>
      <c r="G6" s="368"/>
      <c r="H6" s="368"/>
      <c r="I6" s="368"/>
      <c r="J6" s="135"/>
      <c r="K6" s="368" t="s">
        <v>294</v>
      </c>
      <c r="L6" s="368"/>
      <c r="M6" s="368"/>
      <c r="N6" s="368"/>
      <c r="O6" s="368"/>
      <c r="P6" s="368"/>
      <c r="Q6" s="368"/>
    </row>
    <row r="7" spans="1:17" ht="15.75" customHeight="1">
      <c r="A7" s="369"/>
      <c r="B7" s="370"/>
      <c r="C7" s="366" t="s">
        <v>13</v>
      </c>
      <c r="D7" s="366"/>
      <c r="E7" s="366" t="s">
        <v>11</v>
      </c>
      <c r="F7" s="369"/>
      <c r="G7" s="366" t="s">
        <v>12</v>
      </c>
      <c r="H7" s="369"/>
      <c r="I7" s="366" t="s">
        <v>2</v>
      </c>
      <c r="J7" s="171"/>
      <c r="K7" s="366" t="s">
        <v>13</v>
      </c>
      <c r="L7" s="366"/>
      <c r="M7" s="366" t="s">
        <v>11</v>
      </c>
      <c r="N7" s="369"/>
      <c r="O7" s="366" t="s">
        <v>12</v>
      </c>
      <c r="P7" s="369"/>
      <c r="Q7" s="366" t="s">
        <v>2</v>
      </c>
    </row>
    <row r="8" spans="1:17" ht="12" customHeight="1">
      <c r="A8" s="370"/>
      <c r="B8" s="370"/>
      <c r="C8" s="367"/>
      <c r="D8" s="367"/>
      <c r="E8" s="367"/>
      <c r="F8" s="370"/>
      <c r="G8" s="367"/>
      <c r="H8" s="370"/>
      <c r="I8" s="367"/>
      <c r="J8" s="171"/>
      <c r="K8" s="367"/>
      <c r="L8" s="367"/>
      <c r="M8" s="367"/>
      <c r="N8" s="370"/>
      <c r="O8" s="367"/>
      <c r="P8" s="370"/>
      <c r="Q8" s="367"/>
    </row>
    <row r="9" spans="1:17" ht="20.25" customHeight="1" thickBot="1">
      <c r="A9" s="370"/>
      <c r="B9" s="370"/>
      <c r="C9" s="172" t="s">
        <v>58</v>
      </c>
      <c r="D9" s="367"/>
      <c r="E9" s="172" t="s">
        <v>54</v>
      </c>
      <c r="F9" s="370"/>
      <c r="G9" s="172" t="s">
        <v>55</v>
      </c>
      <c r="H9" s="370"/>
      <c r="I9" s="368"/>
      <c r="J9" s="173"/>
      <c r="K9" s="172" t="s">
        <v>58</v>
      </c>
      <c r="L9" s="367"/>
      <c r="M9" s="172" t="s">
        <v>54</v>
      </c>
      <c r="N9" s="370"/>
      <c r="O9" s="172" t="s">
        <v>55</v>
      </c>
      <c r="P9" s="370"/>
      <c r="Q9" s="368"/>
    </row>
    <row r="10" spans="1:17" ht="20.25" customHeight="1">
      <c r="A10" s="135" t="s">
        <v>157</v>
      </c>
      <c r="B10" s="135"/>
      <c r="C10" s="69">
        <f>IFERROR(VLOOKUP(A10,'سود اوراق بهادار'!$A$7:$Q$13,11,0),0)</f>
        <v>0</v>
      </c>
      <c r="D10" s="171"/>
      <c r="E10" s="69">
        <f>IFERROR(VLOOKUP(A10,'درآمد ناشی از تغییر قیمت اوراق '!$A$7:$Q$10,9,0),0)</f>
        <v>0</v>
      </c>
      <c r="F10" s="135"/>
      <c r="G10" s="69">
        <f>IFERROR(VLOOKUP(A10,'درآمد ناشی ازفروش'!$A$7:$Q$16,9,0),0)</f>
        <v>0</v>
      </c>
      <c r="H10" s="135"/>
      <c r="I10" s="69">
        <f>G10+E10+C10</f>
        <v>0</v>
      </c>
      <c r="J10" s="173"/>
      <c r="K10" s="69">
        <f>IFERROR(VLOOKUP(A10,'سود اوراق بهادار'!$A$7:$Q$13,17,0),0)</f>
        <v>0</v>
      </c>
      <c r="L10" s="171"/>
      <c r="M10" s="69">
        <f>IFERROR(VLOOKUP(A10,'درآمد ناشی از تغییر قیمت اوراق '!$A$7:$Q$10,17,0),0)</f>
        <v>0</v>
      </c>
      <c r="N10" s="135"/>
      <c r="O10" s="69">
        <f>IFERROR(VLOOKUP(A10,'درآمد ناشی ازفروش'!$A$7:$Q$16,17,0),0)</f>
        <v>39924603635</v>
      </c>
      <c r="P10" s="135"/>
      <c r="Q10" s="69">
        <f>K10+M10+O10</f>
        <v>39924603635</v>
      </c>
    </row>
    <row r="11" spans="1:17" ht="20.25" customHeight="1">
      <c r="A11" s="135" t="s">
        <v>282</v>
      </c>
      <c r="B11" s="135"/>
      <c r="C11" s="69">
        <f>IFERROR(VLOOKUP(A11,'سود اوراق بهادار'!$A$7:$Q$13,11,0),0)</f>
        <v>5949531817</v>
      </c>
      <c r="D11" s="171"/>
      <c r="E11" s="69">
        <f>IFERROR(VLOOKUP(A11,'درآمد ناشی از تغییر قیمت اوراق '!$A$7:$Q$10,9,0),0)</f>
        <v>0</v>
      </c>
      <c r="F11" s="135"/>
      <c r="G11" s="69">
        <f>IFERROR(VLOOKUP(A11,'درآمد ناشی ازفروش'!$A$7:$Q$16,9,0),0)</f>
        <v>0</v>
      </c>
      <c r="H11" s="135"/>
      <c r="I11" s="69">
        <f t="shared" ref="I11:I21" si="0">G11+E11+C11</f>
        <v>5949531817</v>
      </c>
      <c r="J11" s="173"/>
      <c r="K11" s="69">
        <f>IFERROR(VLOOKUP(A11,'سود اوراق بهادار'!$A$7:$Q$13,17,0),0)</f>
        <v>10697756525</v>
      </c>
      <c r="L11" s="171"/>
      <c r="M11" s="69">
        <f>IFERROR(VLOOKUP(A11,'درآمد ناشی از تغییر قیمت اوراق '!$A$7:$Q$10,17,0),0)</f>
        <v>-12427597250</v>
      </c>
      <c r="N11" s="135"/>
      <c r="O11" s="69">
        <f>IFERROR(VLOOKUP(A11,'درآمد ناشی ازفروش'!$A$7:$Q$16,17,0),0)</f>
        <v>0</v>
      </c>
      <c r="P11" s="135"/>
      <c r="Q11" s="69">
        <f t="shared" ref="Q11:Q21" si="1">K11+M11+O11</f>
        <v>-1729840725</v>
      </c>
    </row>
    <row r="12" spans="1:17" ht="20.25" customHeight="1">
      <c r="A12" s="135" t="s">
        <v>133</v>
      </c>
      <c r="B12" s="135"/>
      <c r="C12" s="69">
        <f>IFERROR(VLOOKUP(A12,'سود اوراق بهادار'!$A$7:$Q$13,11,0),0)</f>
        <v>0</v>
      </c>
      <c r="D12" s="171"/>
      <c r="E12" s="69">
        <f>IFERROR(VLOOKUP(A12,'درآمد ناشی از تغییر قیمت اوراق '!$A$7:$Q$10,9,0),0)</f>
        <v>0</v>
      </c>
      <c r="F12" s="135"/>
      <c r="G12" s="69">
        <f>IFERROR(VLOOKUP(A12,'درآمد ناشی ازفروش'!$A$7:$Q$16,9,0),0)</f>
        <v>0</v>
      </c>
      <c r="H12" s="135"/>
      <c r="I12" s="69">
        <f t="shared" si="0"/>
        <v>0</v>
      </c>
      <c r="J12" s="173"/>
      <c r="K12" s="69">
        <f>IFERROR(VLOOKUP(A12,'سود اوراق بهادار'!$A$7:$Q$13,17,0),0)</f>
        <v>0</v>
      </c>
      <c r="L12" s="171"/>
      <c r="M12" s="69">
        <f>IFERROR(VLOOKUP(A12,'درآمد ناشی از تغییر قیمت اوراق '!$A$7:$Q$10,17,0),0)</f>
        <v>0</v>
      </c>
      <c r="N12" s="135"/>
      <c r="O12" s="69">
        <f>IFERROR(VLOOKUP(A12,'درآمد ناشی ازفروش'!$A$7:$Q$16,17,0),0)</f>
        <v>3006759337</v>
      </c>
      <c r="P12" s="135"/>
      <c r="Q12" s="69">
        <f t="shared" si="1"/>
        <v>3006759337</v>
      </c>
    </row>
    <row r="13" spans="1:17" ht="20.25" customHeight="1">
      <c r="A13" s="135" t="s">
        <v>158</v>
      </c>
      <c r="B13" s="135"/>
      <c r="C13" s="69">
        <f>IFERROR(VLOOKUP(A13,'سود اوراق بهادار'!$A$7:$Q$13,11,0),0)</f>
        <v>0</v>
      </c>
      <c r="D13" s="171"/>
      <c r="E13" s="69">
        <f>IFERROR(VLOOKUP(A13,'درآمد ناشی از تغییر قیمت اوراق '!$A$7:$Q$10,9,0),0)</f>
        <v>0</v>
      </c>
      <c r="F13" s="135"/>
      <c r="G13" s="69">
        <f>IFERROR(VLOOKUP(A13,'درآمد ناشی ازفروش'!$A$7:$Q$16,9,0),0)</f>
        <v>0</v>
      </c>
      <c r="H13" s="135"/>
      <c r="I13" s="69">
        <f t="shared" si="0"/>
        <v>0</v>
      </c>
      <c r="J13" s="173"/>
      <c r="K13" s="69">
        <f>IFERROR(VLOOKUP(A13,'سود اوراق بهادار'!$A$7:$Q$13,17,0),0)</f>
        <v>0</v>
      </c>
      <c r="L13" s="171"/>
      <c r="M13" s="69">
        <f>IFERROR(VLOOKUP(A13,'درآمد ناشی از تغییر قیمت اوراق '!$A$7:$Q$10,17,0),0)</f>
        <v>0</v>
      </c>
      <c r="N13" s="135"/>
      <c r="O13" s="69">
        <f>IFERROR(VLOOKUP(A13,'درآمد ناشی ازفروش'!$A$7:$Q$16,17,0),0)</f>
        <v>26923583028</v>
      </c>
      <c r="P13" s="135"/>
      <c r="Q13" s="69">
        <f t="shared" si="1"/>
        <v>26923583028</v>
      </c>
    </row>
    <row r="14" spans="1:17" ht="27.75" customHeight="1">
      <c r="A14" s="135" t="s">
        <v>134</v>
      </c>
      <c r="B14" s="135"/>
      <c r="C14" s="69">
        <f>IFERROR(VLOOKUP(A14,'سود اوراق بهادار'!$A$7:$Q$13,11,0),0)</f>
        <v>0</v>
      </c>
      <c r="D14" s="171"/>
      <c r="E14" s="69">
        <f>IFERROR(VLOOKUP(A14,'درآمد ناشی از تغییر قیمت اوراق '!$A$7:$Q$10,9,0),0)</f>
        <v>0</v>
      </c>
      <c r="F14" s="135"/>
      <c r="G14" s="69">
        <f>IFERROR(VLOOKUP(A14,'درآمد ناشی ازفروش'!$A$7:$Q$16,9,0),0)</f>
        <v>0</v>
      </c>
      <c r="H14" s="135"/>
      <c r="I14" s="69">
        <f t="shared" si="0"/>
        <v>0</v>
      </c>
      <c r="J14" s="173"/>
      <c r="K14" s="69">
        <f>IFERROR(VLOOKUP(A14,'سود اوراق بهادار'!$A$7:$Q$13,17,0),0)</f>
        <v>8269843927</v>
      </c>
      <c r="L14" s="171"/>
      <c r="M14" s="69">
        <f>IFERROR(VLOOKUP(A14,'درآمد ناشی از تغییر قیمت اوراق '!$A$7:$Q$10,17,0),0)</f>
        <v>0</v>
      </c>
      <c r="N14" s="135"/>
      <c r="O14" s="69">
        <f>IFERROR(VLOOKUP(A14,'درآمد ناشی ازفروش'!$A$7:$Q$16,17,0),0)</f>
        <v>-78000000</v>
      </c>
      <c r="P14" s="135"/>
      <c r="Q14" s="69">
        <f t="shared" si="1"/>
        <v>8191843927</v>
      </c>
    </row>
    <row r="15" spans="1:17" ht="27.75" customHeight="1">
      <c r="A15" s="135" t="s">
        <v>113</v>
      </c>
      <c r="B15" s="135"/>
      <c r="C15" s="69">
        <f>IFERROR(VLOOKUP(A15,'سود اوراق بهادار'!$A$7:$Q$13,11,0),0)</f>
        <v>0</v>
      </c>
      <c r="D15" s="171"/>
      <c r="E15" s="69">
        <f>IFERROR(VLOOKUP(A15,'درآمد ناشی از تغییر قیمت اوراق '!$A$7:$Q$10,9,0),0)</f>
        <v>0</v>
      </c>
      <c r="F15" s="135"/>
      <c r="G15" s="69">
        <f>IFERROR(VLOOKUP(A15,'درآمد ناشی ازفروش'!$A$7:$Q$16,9,0),0)</f>
        <v>0</v>
      </c>
      <c r="H15" s="135"/>
      <c r="I15" s="69">
        <f t="shared" si="0"/>
        <v>0</v>
      </c>
      <c r="J15" s="173"/>
      <c r="K15" s="69">
        <f>IFERROR(VLOOKUP(A15,'سود اوراق بهادار'!$A$7:$Q$13,17,0),0)</f>
        <v>38098063699</v>
      </c>
      <c r="L15" s="171"/>
      <c r="M15" s="69">
        <f>IFERROR(VLOOKUP(A15,'درآمد ناشی از تغییر قیمت اوراق '!$A$7:$Q$10,17,0),0)</f>
        <v>0</v>
      </c>
      <c r="N15" s="135"/>
      <c r="O15" s="69">
        <f>IFERROR(VLOOKUP(A15,'درآمد ناشی ازفروش'!$A$7:$Q$16,17,0),0)</f>
        <v>19836866289</v>
      </c>
      <c r="P15" s="135"/>
      <c r="Q15" s="69">
        <f t="shared" si="1"/>
        <v>57934929988</v>
      </c>
    </row>
    <row r="16" spans="1:17" ht="27.75" customHeight="1">
      <c r="A16" s="135" t="s">
        <v>188</v>
      </c>
      <c r="B16" s="135"/>
      <c r="C16" s="69">
        <f>IFERROR(VLOOKUP(A16,'سود اوراق بهادار'!$A$7:$Q$13,11,0),0)</f>
        <v>8748334283</v>
      </c>
      <c r="D16" s="171"/>
      <c r="E16" s="69">
        <f>IFERROR(VLOOKUP(A16,'درآمد ناشی از تغییر قیمت اوراق '!$A$7:$Q$10,9,0),0)</f>
        <v>0</v>
      </c>
      <c r="F16" s="135"/>
      <c r="G16" s="69">
        <f>IFERROR(VLOOKUP(A16,'درآمد ناشی ازفروش'!$A$7:$Q$16,9,0),0)</f>
        <v>0</v>
      </c>
      <c r="H16" s="135"/>
      <c r="I16" s="69">
        <f t="shared" si="0"/>
        <v>8748334283</v>
      </c>
      <c r="J16" s="173"/>
      <c r="K16" s="69">
        <f>IFERROR(VLOOKUP(A16,'سود اوراق بهادار'!$A$7:$Q$13,17,0),0)</f>
        <v>128254721345</v>
      </c>
      <c r="L16" s="171"/>
      <c r="M16" s="69">
        <f>IFERROR(VLOOKUP(A16,'درآمد ناشی از تغییر قیمت اوراق '!$A$7:$Q$10,17,0),0)</f>
        <v>-2233605600</v>
      </c>
      <c r="N16" s="135"/>
      <c r="O16" s="69">
        <f>IFERROR(VLOOKUP(A16,'درآمد ناشی ازفروش'!$A$7:$Q$16,17,0),0)</f>
        <v>10911906250</v>
      </c>
      <c r="P16" s="135"/>
      <c r="Q16" s="69">
        <f t="shared" si="1"/>
        <v>136933021995</v>
      </c>
    </row>
    <row r="17" spans="1:17" ht="27.75" customHeight="1">
      <c r="A17" s="135" t="s">
        <v>112</v>
      </c>
      <c r="B17" s="135"/>
      <c r="C17" s="69">
        <f>IFERROR(VLOOKUP(A17,'سود اوراق بهادار'!$A$7:$Q$13,11,0),0)</f>
        <v>0</v>
      </c>
      <c r="D17" s="171"/>
      <c r="E17" s="69">
        <f>IFERROR(VLOOKUP(A17,'درآمد ناشی از تغییر قیمت اوراق '!$A$7:$Q$10,9,0),0)</f>
        <v>0</v>
      </c>
      <c r="F17" s="135"/>
      <c r="G17" s="69">
        <f>IFERROR(VLOOKUP(A17,'درآمد ناشی ازفروش'!$A$7:$Q$16,9,0),0)</f>
        <v>0</v>
      </c>
      <c r="H17" s="135"/>
      <c r="I17" s="69">
        <f t="shared" si="0"/>
        <v>0</v>
      </c>
      <c r="J17" s="173"/>
      <c r="K17" s="69">
        <f>IFERROR(VLOOKUP(A17,'سود اوراق بهادار'!$A$7:$Q$13,17,0),0)</f>
        <v>760435788</v>
      </c>
      <c r="L17" s="171"/>
      <c r="M17" s="69">
        <f>IFERROR(VLOOKUP(A17,'درآمد ناشی از تغییر قیمت اوراق '!$A$7:$Q$10,17,0),0)</f>
        <v>0</v>
      </c>
      <c r="N17" s="135"/>
      <c r="O17" s="69">
        <f>IFERROR(VLOOKUP(A17,'درآمد ناشی ازفروش'!$A$7:$Q$16,17,0),0)</f>
        <v>-123385340</v>
      </c>
      <c r="P17" s="135"/>
      <c r="Q17" s="69">
        <f t="shared" si="1"/>
        <v>637050448</v>
      </c>
    </row>
    <row r="18" spans="1:17" ht="27.75" customHeight="1">
      <c r="A18" s="135" t="s">
        <v>100</v>
      </c>
      <c r="B18" s="135"/>
      <c r="C18" s="69">
        <f>IFERROR(VLOOKUP(A18,'سود اوراق بهادار'!$A$7:$Q$13,11,0),0)</f>
        <v>0</v>
      </c>
      <c r="D18" s="171"/>
      <c r="E18" s="69">
        <f>IFERROR(VLOOKUP(A18,'درآمد ناشی از تغییر قیمت اوراق '!$A$7:$Q$10,9,0),0)</f>
        <v>0</v>
      </c>
      <c r="F18" s="135"/>
      <c r="G18" s="69">
        <f>IFERROR(VLOOKUP(A18,'درآمد ناشی ازفروش'!$A$7:$Q$16,9,0),0)</f>
        <v>0</v>
      </c>
      <c r="H18" s="135"/>
      <c r="I18" s="69">
        <f t="shared" si="0"/>
        <v>0</v>
      </c>
      <c r="J18" s="173"/>
      <c r="K18" s="69">
        <f>IFERROR(VLOOKUP(A18,'سود اوراق بهادار'!$A$7:$Q$13,17,0),0)</f>
        <v>59645736769</v>
      </c>
      <c r="L18" s="171"/>
      <c r="M18" s="69">
        <f>IFERROR(VLOOKUP(A18,'درآمد ناشی از تغییر قیمت اوراق '!$A$7:$Q$10,17,0),0)</f>
        <v>0</v>
      </c>
      <c r="N18" s="135"/>
      <c r="O18" s="69">
        <f>IFERROR(VLOOKUP(A18,'درآمد ناشی ازفروش'!$A$7:$Q$16,17,0),0)</f>
        <v>23406923454</v>
      </c>
      <c r="P18" s="135"/>
      <c r="Q18" s="69">
        <f t="shared" si="1"/>
        <v>83052660223</v>
      </c>
    </row>
    <row r="19" spans="1:17" ht="27.75" customHeight="1">
      <c r="A19" s="135" t="s">
        <v>120</v>
      </c>
      <c r="B19" s="135"/>
      <c r="C19" s="69">
        <f>IFERROR(VLOOKUP(A19,'سود اوراق بهادار'!$A$7:$Q$13,11,0),0)</f>
        <v>4636640551</v>
      </c>
      <c r="D19" s="171"/>
      <c r="E19" s="69">
        <f>IFERROR(VLOOKUP(A19,'درآمد ناشی از تغییر قیمت اوراق '!$A$7:$Q$10,9,0),0)</f>
        <v>-488321474</v>
      </c>
      <c r="F19" s="135"/>
      <c r="G19" s="69">
        <f>IFERROR(VLOOKUP(A19,'درآمد ناشی ازفروش'!$A$7:$Q$16,9,0),0)</f>
        <v>1295265194</v>
      </c>
      <c r="H19" s="135"/>
      <c r="I19" s="69">
        <f t="shared" si="0"/>
        <v>5443584271</v>
      </c>
      <c r="J19" s="173"/>
      <c r="K19" s="69">
        <f>IFERROR(VLOOKUP(A19,'سود اوراق بهادار'!$A$7:$Q$13,17,0),0)</f>
        <v>74567085845</v>
      </c>
      <c r="L19" s="171"/>
      <c r="M19" s="69">
        <f>IFERROR(VLOOKUP(A19,'درآمد ناشی از تغییر قیمت اوراق '!$A$7:$Q$10,17,0),0)</f>
        <v>-401237260</v>
      </c>
      <c r="N19" s="135"/>
      <c r="O19" s="69">
        <f>IFERROR(VLOOKUP(A19,'درآمد ناشی ازفروش'!$A$7:$Q$16,17,0),0)</f>
        <v>686747205</v>
      </c>
      <c r="P19" s="135"/>
      <c r="Q19" s="69">
        <f t="shared" si="1"/>
        <v>74852595790</v>
      </c>
    </row>
    <row r="20" spans="1:17" ht="27.75" customHeight="1">
      <c r="A20" s="135" t="s">
        <v>281</v>
      </c>
      <c r="B20" s="135"/>
      <c r="C20" s="69"/>
      <c r="D20" s="171"/>
      <c r="E20" s="69"/>
      <c r="F20" s="135"/>
      <c r="G20" s="69">
        <f>IFERROR(VLOOKUP(A20,'درآمد ناشی ازفروش'!$A$7:$Q$16,9,0),0)</f>
        <v>0</v>
      </c>
      <c r="H20" s="135"/>
      <c r="I20" s="69">
        <f t="shared" si="0"/>
        <v>0</v>
      </c>
      <c r="J20" s="173"/>
      <c r="K20" s="69"/>
      <c r="L20" s="171"/>
      <c r="M20" s="69">
        <f>IFERROR(VLOOKUP(A20,'درآمد ناشی از تغییر قیمت اوراق '!$A$7:$Q$10,17,0),0)</f>
        <v>0</v>
      </c>
      <c r="N20" s="135"/>
      <c r="O20" s="69">
        <f>IFERROR(VLOOKUP(A20,'درآمد ناشی ازفروش'!$A$7:$Q$16,17,0),0)</f>
        <v>152444</v>
      </c>
      <c r="P20" s="135"/>
      <c r="Q20" s="69">
        <f t="shared" si="1"/>
        <v>152444</v>
      </c>
    </row>
    <row r="21" spans="1:17" ht="27.75" customHeight="1">
      <c r="A21" s="135" t="s">
        <v>187</v>
      </c>
      <c r="B21" s="135"/>
      <c r="C21" s="69">
        <f>IFERROR(VLOOKUP(A21,'سود اوراق بهادار'!$A$7:$Q$13,11,0),0)</f>
        <v>0</v>
      </c>
      <c r="D21" s="171"/>
      <c r="E21" s="69">
        <f>IFERROR(VLOOKUP(A21,'درآمد ناشی از تغییر قیمت اوراق '!$A$7:$Q$10,9,0),0)</f>
        <v>703449219</v>
      </c>
      <c r="F21" s="135"/>
      <c r="G21" s="69">
        <f>IFERROR(VLOOKUP(A21,'درآمد ناشی ازفروش'!$A$7:$Q$16,9,0),0)</f>
        <v>0</v>
      </c>
      <c r="H21" s="135"/>
      <c r="I21" s="69">
        <f t="shared" si="0"/>
        <v>703449219</v>
      </c>
      <c r="J21" s="173"/>
      <c r="K21" s="69">
        <f>IFERROR(VLOOKUP(A21,'سود اوراق بهادار'!$A$7:$Q$13,17,0),0)</f>
        <v>0</v>
      </c>
      <c r="L21" s="171"/>
      <c r="M21" s="69">
        <f>IFERROR(VLOOKUP(A21,'درآمد ناشی از تغییر قیمت اوراق '!$A$7:$Q$10,17,0),0)</f>
        <v>4205019226</v>
      </c>
      <c r="N21" s="135"/>
      <c r="O21" s="69">
        <f>IFERROR(VLOOKUP(A21,'درآمد ناشی ازفروش'!$A$7:$Q$16,17,0),0)</f>
        <v>0</v>
      </c>
      <c r="P21" s="135"/>
      <c r="Q21" s="69">
        <f t="shared" si="1"/>
        <v>4205019226</v>
      </c>
    </row>
    <row r="22" spans="1:17" ht="29.25" customHeight="1" thickBot="1">
      <c r="A22" s="253" t="s">
        <v>2</v>
      </c>
      <c r="B22" s="174"/>
      <c r="C22" s="289">
        <f>SUM(C10:C21)</f>
        <v>19334506651</v>
      </c>
      <c r="D22" s="290" t="e">
        <f>SUM(#REF!)</f>
        <v>#REF!</v>
      </c>
      <c r="E22" s="289">
        <f>SUM(E10:E21)</f>
        <v>215127745</v>
      </c>
      <c r="F22" s="290" t="e">
        <f>SUM(#REF!)</f>
        <v>#REF!</v>
      </c>
      <c r="G22" s="289">
        <f>SUM(G10:G21)</f>
        <v>1295265194</v>
      </c>
      <c r="H22" s="290" t="e">
        <f>SUM(#REF!)</f>
        <v>#REF!</v>
      </c>
      <c r="I22" s="289">
        <f>SUM(I10:I21)</f>
        <v>20844899590</v>
      </c>
      <c r="J22" s="290" t="e">
        <f>SUM(#REF!)</f>
        <v>#REF!</v>
      </c>
      <c r="K22" s="289">
        <f>SUM(K10:K21)</f>
        <v>320293643898</v>
      </c>
      <c r="L22" s="290" t="e">
        <f>SUM(#REF!)</f>
        <v>#REF!</v>
      </c>
      <c r="M22" s="289">
        <f>SUM(M10:M21)</f>
        <v>-10857420884</v>
      </c>
      <c r="N22" s="290" t="e">
        <f>SUM(#REF!)</f>
        <v>#REF!</v>
      </c>
      <c r="O22" s="289">
        <f>SUM(O10:O21)</f>
        <v>124496156302</v>
      </c>
      <c r="P22" s="290" t="e">
        <f>SUM(#REF!)</f>
        <v>#REF!</v>
      </c>
      <c r="Q22" s="289">
        <f>SUM(Q10:Q21)</f>
        <v>433932379316</v>
      </c>
    </row>
    <row r="23" spans="1:17" ht="22.5" thickTop="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</row>
  </sheetData>
  <autoFilter ref="A9:Q9" xr:uid="{00000000-0009-0000-0000-00000B000000}"/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2024-12-28T12:32:53Z</dcterms:modified>
</cp:coreProperties>
</file>