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atemeh Naderloo\Desktop\"/>
    </mc:Choice>
  </mc:AlternateContent>
  <xr:revisionPtr revIDLastSave="0" documentId="8_{88878F43-B785-4203-95CF-5396DE9F599B}" xr6:coauthVersionLast="47" xr6:coauthVersionMax="47" xr10:uidLastSave="{00000000-0000-0000-0000-000000000000}"/>
  <bookViews>
    <workbookView xWindow="-98" yWindow="-98" windowWidth="21795" windowHeight="13875" tabRatio="911" firstSheet="10" activeTab="17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درآمد سرمایه گذاری در سهام " sheetId="5" r:id="rId7"/>
    <sheet name="درآمد سرمایه گذاری در صندوق" sheetId="23" r:id="rId8"/>
    <sheet name="درآمد سرمایه گذاری در اوراق بها" sheetId="6" r:id="rId9"/>
    <sheet name="مبالغ تخصیصی اوراق " sheetId="20" state="hidden" r:id="rId10"/>
    <sheet name="درآمد سپرده بانکی" sheetId="7" r:id="rId11"/>
    <sheet name="سود اوراق بهادار" sheetId="21" r:id="rId12"/>
    <sheet name="سود سپرده بانکی" sheetId="13" r:id="rId13"/>
    <sheet name="مبالغ تخصیصی اورراق " sheetId="22" r:id="rId14"/>
    <sheet name="سایر درآمدها" sheetId="8" r:id="rId15"/>
    <sheet name="درآمد سود سهام" sheetId="18" r:id="rId16"/>
    <sheet name="درآمد ناشی ازفروش" sheetId="15" r:id="rId17"/>
    <sheet name="درآمد ناشی از تغییر قیمت اوراق " sheetId="14" r:id="rId18"/>
  </sheets>
  <definedNames>
    <definedName name="_xlnm._FilterDatabase" localSheetId="1" hidden="1">' سهام'!$A$9:$W$9</definedName>
    <definedName name="_xlnm._FilterDatabase" localSheetId="10" hidden="1">'درآمد سپرده بانکی'!$A$7:$L$53</definedName>
    <definedName name="_xlnm._FilterDatabase" localSheetId="8" hidden="1">'درآمد سرمایه گذاری در اوراق بها'!$A$9:$Q$9</definedName>
    <definedName name="_xlnm._FilterDatabase" localSheetId="6" hidden="1">'درآمد سرمایه گذاری در سهام '!$A$10:$U$10</definedName>
    <definedName name="_xlnm._FilterDatabase" localSheetId="15" hidden="1">'درآمد سود سهام'!$A$7:$S$7</definedName>
    <definedName name="_xlnm._FilterDatabase" localSheetId="17" hidden="1">'درآمد ناشی از تغییر قیمت اوراق '!$A$6:$Q$6</definedName>
    <definedName name="_xlnm._FilterDatabase" localSheetId="16" hidden="1">'درآمد ناشی ازفروش'!$A$6:$Q$6</definedName>
    <definedName name="_xlnm._FilterDatabase" localSheetId="4" hidden="1">سپرده!$A$8:$K$59</definedName>
    <definedName name="_xlnm._FilterDatabase" localSheetId="11" hidden="1">'سود اوراق بهادار'!$A$6:$Q$11</definedName>
    <definedName name="_xlnm._FilterDatabase" localSheetId="12" hidden="1">'سود سپرده بانکی'!$A$6:$N$52</definedName>
    <definedName name="A" localSheetId="11">'سود اوراق بهادار'!$A$7:$Q$12</definedName>
    <definedName name="A">'سود سپرده بانکی'!$A$18:$N$52</definedName>
    <definedName name="_xlnm.Print_Area" localSheetId="1">' سهام'!$A$1:$W$12</definedName>
    <definedName name="_xlnm.Print_Area" localSheetId="2">اوراق!$A$1:$AG$15</definedName>
    <definedName name="_xlnm.Print_Area" localSheetId="3">'تعدیل اوراق'!$A$1:$M$11</definedName>
    <definedName name="_xlnm.Print_Area" localSheetId="10">'درآمد سپرده بانکی'!$A$1:$L$53</definedName>
    <definedName name="_xlnm.Print_Area" localSheetId="8">'درآمد سرمایه گذاری در اوراق بها'!$A$1:$Q$17</definedName>
    <definedName name="_xlnm.Print_Area" localSheetId="6">'درآمد سرمایه گذاری در سهام '!$A$1:$U$12</definedName>
    <definedName name="_xlnm.Print_Area" localSheetId="7">'درآمد سرمایه گذاری در صندوق'!$A$1:$S$12</definedName>
    <definedName name="_xlnm.Print_Area" localSheetId="15">'درآمد سود سهام'!$A$1:$S$11</definedName>
    <definedName name="_xlnm.Print_Area" localSheetId="17">'درآمد ناشی از تغییر قیمت اوراق '!$A$1:$Q$14</definedName>
    <definedName name="_xlnm.Print_Area" localSheetId="16">'درآمد ناشی ازفروش'!$A$1:$Q$10</definedName>
    <definedName name="_xlnm.Print_Area" localSheetId="5">درآمدها!$A$1:$I$12</definedName>
    <definedName name="_xlnm.Print_Area" localSheetId="0">روکش!$A$1:$I$36</definedName>
    <definedName name="_xlnm.Print_Area" localSheetId="14">'سایر درآمدها'!$A$1:$E$10</definedName>
    <definedName name="_xlnm.Print_Area" localSheetId="4">سپرده!$A$1:$K$59</definedName>
    <definedName name="_xlnm.Print_Area" localSheetId="11">'سود اوراق بهادار'!$A$1:$Q$13</definedName>
    <definedName name="_xlnm.Print_Area" localSheetId="12">'سود سپرده بانکی'!$A$1:$N$52</definedName>
    <definedName name="_xlnm.Print_Area" localSheetId="9">'مبالغ تخصیصی اوراق '!$A$1:$I$18</definedName>
    <definedName name="_xlnm.Print_Area" localSheetId="13">'مبالغ تخصیصی اورراق '!$A$1:$H$10</definedName>
    <definedName name="_xlnm.Print_Titles" localSheetId="1">' سهام'!$7:$9</definedName>
    <definedName name="_xlnm.Print_Titles" localSheetId="6">'درآمد سرمایه گذاری در سهام '!$7:$10</definedName>
    <definedName name="_xlnm.Print_Titles" localSheetId="17">'درآمد ناشی از تغییر قیمت اوراق '!$5:$6</definedName>
    <definedName name="_xlnm.Print_Titles" localSheetId="16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2" l="1"/>
  <c r="E9" i="22"/>
  <c r="D9" i="22"/>
  <c r="I43" i="7"/>
  <c r="I44" i="7"/>
  <c r="I48" i="7"/>
  <c r="I51" i="7"/>
  <c r="I52" i="7"/>
  <c r="E41" i="7"/>
  <c r="E45" i="7"/>
  <c r="E48" i="7"/>
  <c r="E49" i="7"/>
  <c r="J44" i="13"/>
  <c r="N44" i="13" s="1"/>
  <c r="I45" i="7" s="1"/>
  <c r="J40" i="13"/>
  <c r="N40" i="13" s="1"/>
  <c r="I41" i="7" s="1"/>
  <c r="H50" i="13"/>
  <c r="J50" i="13" s="1"/>
  <c r="N50" i="13" s="1"/>
  <c r="H51" i="13"/>
  <c r="J51" i="13" s="1"/>
  <c r="N51" i="13" s="1"/>
  <c r="T16" i="13"/>
  <c r="O40" i="13"/>
  <c r="O41" i="13"/>
  <c r="O42" i="13"/>
  <c r="O43" i="13"/>
  <c r="O44" i="13"/>
  <c r="O45" i="13"/>
  <c r="O46" i="13"/>
  <c r="O47" i="13"/>
  <c r="O48" i="13"/>
  <c r="O49" i="13"/>
  <c r="O51" i="13"/>
  <c r="H40" i="13"/>
  <c r="H41" i="13"/>
  <c r="J41" i="13" s="1"/>
  <c r="N41" i="13" s="1"/>
  <c r="I42" i="7" s="1"/>
  <c r="H42" i="13"/>
  <c r="J42" i="13" s="1"/>
  <c r="N42" i="13" s="1"/>
  <c r="H43" i="13"/>
  <c r="J43" i="13" s="1"/>
  <c r="N43" i="13" s="1"/>
  <c r="H44" i="13"/>
  <c r="H45" i="13"/>
  <c r="J45" i="13" s="1"/>
  <c r="N45" i="13" s="1"/>
  <c r="I46" i="7" s="1"/>
  <c r="H47" i="13"/>
  <c r="J47" i="13" s="1"/>
  <c r="N47" i="13" s="1"/>
  <c r="H48" i="13"/>
  <c r="J48" i="13" s="1"/>
  <c r="N48" i="13" s="1"/>
  <c r="I49" i="7" s="1"/>
  <c r="H49" i="13"/>
  <c r="J49" i="13" s="1"/>
  <c r="N49" i="13" s="1"/>
  <c r="I50" i="7" s="1"/>
  <c r="D52" i="13"/>
  <c r="E46" i="7" l="1"/>
  <c r="E52" i="7"/>
  <c r="E44" i="7"/>
  <c r="E51" i="7"/>
  <c r="E43" i="7"/>
  <c r="E50" i="7"/>
  <c r="E42" i="7"/>
  <c r="C59" i="2" l="1"/>
  <c r="F52" i="13"/>
  <c r="E52" i="13"/>
  <c r="G52" i="13"/>
  <c r="I52" i="13"/>
  <c r="K52" i="13"/>
  <c r="L52" i="13"/>
  <c r="M52" i="13"/>
  <c r="C9" i="19" l="1"/>
  <c r="C10" i="19"/>
  <c r="C11" i="19"/>
  <c r="K10" i="19"/>
  <c r="I10" i="19"/>
  <c r="M13" i="6"/>
  <c r="E13" i="6"/>
  <c r="E8" i="22"/>
  <c r="Q8" i="21" l="1"/>
  <c r="Q9" i="21"/>
  <c r="Q10" i="21"/>
  <c r="Q11" i="21"/>
  <c r="Q7" i="21"/>
  <c r="K8" i="21"/>
  <c r="K9" i="21"/>
  <c r="K10" i="21"/>
  <c r="K11" i="21"/>
  <c r="K7" i="21"/>
  <c r="Q7" i="15" l="1"/>
  <c r="K10" i="2" l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49" i="2"/>
  <c r="K50" i="2"/>
  <c r="K51" i="2"/>
  <c r="K52" i="2"/>
  <c r="K53" i="2"/>
  <c r="K54" i="2"/>
  <c r="K55" i="2"/>
  <c r="K56" i="2"/>
  <c r="K57" i="2"/>
  <c r="K58" i="2"/>
  <c r="K9" i="2"/>
  <c r="AH10" i="17"/>
  <c r="AH11" i="17"/>
  <c r="AH12" i="17"/>
  <c r="AH13" i="17"/>
  <c r="AH9" i="17"/>
  <c r="K9" i="19"/>
  <c r="K11" i="19"/>
  <c r="O12" i="14"/>
  <c r="G12" i="14"/>
  <c r="Q8" i="15"/>
  <c r="O8" i="15"/>
  <c r="M8" i="15"/>
  <c r="G8" i="15"/>
  <c r="H8" i="13"/>
  <c r="H9" i="13"/>
  <c r="H10" i="13"/>
  <c r="H11" i="13"/>
  <c r="H12" i="13"/>
  <c r="H46" i="13"/>
  <c r="H13" i="13"/>
  <c r="H14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5" i="13"/>
  <c r="H36" i="13"/>
  <c r="H37" i="13"/>
  <c r="H38" i="13"/>
  <c r="H39" i="13"/>
  <c r="H7" i="13"/>
  <c r="Q12" i="21"/>
  <c r="O12" i="21"/>
  <c r="M12" i="21"/>
  <c r="K12" i="21"/>
  <c r="I12" i="21"/>
  <c r="G12" i="21"/>
  <c r="J9" i="13" l="1"/>
  <c r="N9" i="13" s="1"/>
  <c r="I10" i="7" s="1"/>
  <c r="E10" i="7"/>
  <c r="J17" i="13"/>
  <c r="N17" i="13" s="1"/>
  <c r="I18" i="7" s="1"/>
  <c r="E18" i="7"/>
  <c r="J32" i="13"/>
  <c r="N32" i="13" s="1"/>
  <c r="I33" i="7" s="1"/>
  <c r="E33" i="7"/>
  <c r="J24" i="13"/>
  <c r="N24" i="13" s="1"/>
  <c r="I25" i="7" s="1"/>
  <c r="E25" i="7"/>
  <c r="J16" i="13"/>
  <c r="N16" i="13" s="1"/>
  <c r="I17" i="7" s="1"/>
  <c r="E17" i="7"/>
  <c r="J8" i="13"/>
  <c r="N8" i="13" s="1"/>
  <c r="I9" i="7" s="1"/>
  <c r="E9" i="7"/>
  <c r="J18" i="13"/>
  <c r="N18" i="13" s="1"/>
  <c r="I19" i="7" s="1"/>
  <c r="E19" i="7"/>
  <c r="J7" i="13"/>
  <c r="E8" i="7"/>
  <c r="J31" i="13"/>
  <c r="N31" i="13" s="1"/>
  <c r="I32" i="7" s="1"/>
  <c r="E32" i="7"/>
  <c r="J23" i="13"/>
  <c r="N23" i="13" s="1"/>
  <c r="I24" i="7" s="1"/>
  <c r="E24" i="7"/>
  <c r="J14" i="13"/>
  <c r="N14" i="13" s="1"/>
  <c r="I15" i="7" s="1"/>
  <c r="E15" i="7"/>
  <c r="J10" i="13"/>
  <c r="N10" i="13" s="1"/>
  <c r="I11" i="7" s="1"/>
  <c r="E11" i="7"/>
  <c r="J39" i="13"/>
  <c r="N39" i="13" s="1"/>
  <c r="I40" i="7" s="1"/>
  <c r="E40" i="7"/>
  <c r="J30" i="13"/>
  <c r="N30" i="13" s="1"/>
  <c r="I31" i="7" s="1"/>
  <c r="E31" i="7"/>
  <c r="J22" i="13"/>
  <c r="N22" i="13" s="1"/>
  <c r="I23" i="7" s="1"/>
  <c r="E23" i="7"/>
  <c r="J13" i="13"/>
  <c r="N13" i="13" s="1"/>
  <c r="I14" i="7" s="1"/>
  <c r="E14" i="7"/>
  <c r="J35" i="13"/>
  <c r="N35" i="13" s="1"/>
  <c r="I36" i="7" s="1"/>
  <c r="E36" i="7"/>
  <c r="J25" i="13"/>
  <c r="N25" i="13" s="1"/>
  <c r="I26" i="7" s="1"/>
  <c r="E26" i="7"/>
  <c r="J38" i="13"/>
  <c r="N38" i="13" s="1"/>
  <c r="I39" i="7" s="1"/>
  <c r="E39" i="7"/>
  <c r="J29" i="13"/>
  <c r="N29" i="13" s="1"/>
  <c r="I30" i="7" s="1"/>
  <c r="E30" i="7"/>
  <c r="J21" i="13"/>
  <c r="N21" i="13" s="1"/>
  <c r="I22" i="7" s="1"/>
  <c r="E22" i="7"/>
  <c r="J46" i="13"/>
  <c r="N46" i="13" s="1"/>
  <c r="I47" i="7" s="1"/>
  <c r="E47" i="7"/>
  <c r="J26" i="13"/>
  <c r="N26" i="13" s="1"/>
  <c r="I27" i="7" s="1"/>
  <c r="E27" i="7"/>
  <c r="J33" i="13"/>
  <c r="N33" i="13" s="1"/>
  <c r="I34" i="7" s="1"/>
  <c r="E34" i="7"/>
  <c r="J37" i="13"/>
  <c r="N37" i="13" s="1"/>
  <c r="I38" i="7" s="1"/>
  <c r="E38" i="7"/>
  <c r="J28" i="13"/>
  <c r="N28" i="13" s="1"/>
  <c r="I29" i="7" s="1"/>
  <c r="E29" i="7"/>
  <c r="J20" i="13"/>
  <c r="N20" i="13" s="1"/>
  <c r="I21" i="7" s="1"/>
  <c r="E21" i="7"/>
  <c r="J12" i="13"/>
  <c r="N12" i="13" s="1"/>
  <c r="I13" i="7" s="1"/>
  <c r="E13" i="7"/>
  <c r="J36" i="13"/>
  <c r="N36" i="13" s="1"/>
  <c r="I37" i="7" s="1"/>
  <c r="E37" i="7"/>
  <c r="J27" i="13"/>
  <c r="N27" i="13" s="1"/>
  <c r="I28" i="7" s="1"/>
  <c r="E28" i="7"/>
  <c r="J19" i="13"/>
  <c r="N19" i="13" s="1"/>
  <c r="I20" i="7" s="1"/>
  <c r="E20" i="7"/>
  <c r="J11" i="13"/>
  <c r="N11" i="13" s="1"/>
  <c r="I12" i="7" s="1"/>
  <c r="E12" i="7"/>
  <c r="N7" i="13"/>
  <c r="I8" i="7" s="1"/>
  <c r="I8" i="11"/>
  <c r="I7" i="11"/>
  <c r="K59" i="2"/>
  <c r="G59" i="2"/>
  <c r="E59" i="2"/>
  <c r="AG10" i="17"/>
  <c r="AG11" i="17"/>
  <c r="AG12" i="17"/>
  <c r="AG13" i="17"/>
  <c r="AG9" i="17"/>
  <c r="AE14" i="17"/>
  <c r="AC14" i="17"/>
  <c r="W14" i="17"/>
  <c r="T14" i="17"/>
  <c r="Q14" i="17"/>
  <c r="O14" i="17"/>
  <c r="M10" i="14"/>
  <c r="Q10" i="14" s="1"/>
  <c r="M11" i="14"/>
  <c r="Q11" i="14" s="1"/>
  <c r="M8" i="14"/>
  <c r="M9" i="14"/>
  <c r="M7" i="14"/>
  <c r="E8" i="14"/>
  <c r="I8" i="14" s="1"/>
  <c r="E9" i="14"/>
  <c r="E10" i="14"/>
  <c r="I10" i="14" s="1"/>
  <c r="E11" i="14"/>
  <c r="I11" i="14" s="1"/>
  <c r="E7" i="14"/>
  <c r="I9" i="14" l="1"/>
  <c r="Q7" i="14"/>
  <c r="M14" i="6" s="1"/>
  <c r="Q14" i="6" s="1"/>
  <c r="Q9" i="14"/>
  <c r="I7" i="14"/>
  <c r="I12" i="14" s="1"/>
  <c r="Q8" i="14"/>
  <c r="E14" i="6"/>
  <c r="I14" i="6" s="1"/>
  <c r="AG14" i="17"/>
  <c r="E12" i="6"/>
  <c r="E11" i="6"/>
  <c r="E15" i="6"/>
  <c r="E10" i="6"/>
  <c r="E12" i="14"/>
  <c r="M12" i="14"/>
  <c r="Q12" i="14"/>
  <c r="T7" i="13"/>
  <c r="T36" i="13"/>
  <c r="U36" i="13" s="1"/>
  <c r="T35" i="13"/>
  <c r="U35" i="13" s="1"/>
  <c r="O35" i="13"/>
  <c r="O36" i="13"/>
  <c r="O3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8" i="13"/>
  <c r="O39" i="13"/>
  <c r="O7" i="13"/>
  <c r="D8" i="22"/>
  <c r="O12" i="6"/>
  <c r="O15" i="6"/>
  <c r="G12" i="6"/>
  <c r="G15" i="6"/>
  <c r="I9" i="19"/>
  <c r="I11" i="19"/>
  <c r="E16" i="6" l="1"/>
  <c r="H34" i="13"/>
  <c r="H15" i="13"/>
  <c r="E16" i="7" s="1"/>
  <c r="V36" i="13"/>
  <c r="T17" i="13"/>
  <c r="U17" i="13" s="1"/>
  <c r="J34" i="13" l="1"/>
  <c r="N34" i="13" s="1"/>
  <c r="I35" i="7" s="1"/>
  <c r="E35" i="7"/>
  <c r="E53" i="7" s="1"/>
  <c r="J15" i="13"/>
  <c r="H52" i="13"/>
  <c r="N15" i="13" l="1"/>
  <c r="I16" i="7" s="1"/>
  <c r="J52" i="13"/>
  <c r="C9" i="8"/>
  <c r="E9" i="8"/>
  <c r="E11" i="11" s="1"/>
  <c r="I11" i="11" s="1"/>
  <c r="K11" i="6"/>
  <c r="K12" i="6"/>
  <c r="K13" i="6"/>
  <c r="K15" i="6"/>
  <c r="C12" i="6"/>
  <c r="I12" i="6" s="1"/>
  <c r="C13" i="6"/>
  <c r="C15" i="6"/>
  <c r="M11" i="1"/>
  <c r="J11" i="1"/>
  <c r="G38" i="7" l="1"/>
  <c r="G40" i="7"/>
  <c r="G42" i="7"/>
  <c r="G44" i="7"/>
  <c r="G46" i="7"/>
  <c r="G48" i="7"/>
  <c r="G50" i="7"/>
  <c r="G52" i="7"/>
  <c r="G26" i="7"/>
  <c r="G30" i="7"/>
  <c r="G34" i="7"/>
  <c r="G27" i="7"/>
  <c r="G31" i="7"/>
  <c r="G35" i="7"/>
  <c r="G39" i="7"/>
  <c r="G41" i="7"/>
  <c r="G43" i="7"/>
  <c r="G45" i="7"/>
  <c r="G47" i="7"/>
  <c r="G49" i="7"/>
  <c r="G51" i="7"/>
  <c r="G24" i="7"/>
  <c r="G28" i="7"/>
  <c r="G32" i="7"/>
  <c r="G36" i="7"/>
  <c r="G25" i="7"/>
  <c r="G29" i="7"/>
  <c r="G33" i="7"/>
  <c r="G37" i="7"/>
  <c r="N52" i="13"/>
  <c r="G19" i="7"/>
  <c r="G23" i="7"/>
  <c r="G21" i="7"/>
  <c r="G10" i="7"/>
  <c r="G18" i="7"/>
  <c r="G13" i="7"/>
  <c r="G17" i="7"/>
  <c r="G15" i="7"/>
  <c r="G22" i="7"/>
  <c r="G12" i="7"/>
  <c r="G9" i="7"/>
  <c r="G16" i="7"/>
  <c r="G8" i="7"/>
  <c r="G20" i="7"/>
  <c r="G14" i="7"/>
  <c r="G11" i="7"/>
  <c r="O10" i="6"/>
  <c r="G53" i="7" l="1"/>
  <c r="E7" i="15"/>
  <c r="I7" i="15" s="1"/>
  <c r="E8" i="15" l="1"/>
  <c r="I8" i="15"/>
  <c r="T31" i="13" l="1"/>
  <c r="U31" i="13" s="1"/>
  <c r="U16" i="13"/>
  <c r="T18" i="13"/>
  <c r="U18" i="13" s="1"/>
  <c r="T19" i="13"/>
  <c r="U19" i="13" s="1"/>
  <c r="T20" i="13"/>
  <c r="U20" i="13" s="1"/>
  <c r="T21" i="13"/>
  <c r="U21" i="13" s="1"/>
  <c r="T22" i="13"/>
  <c r="U22" i="13" s="1"/>
  <c r="T23" i="13"/>
  <c r="U23" i="13" s="1"/>
  <c r="T24" i="13"/>
  <c r="U24" i="13" s="1"/>
  <c r="T25" i="13"/>
  <c r="U25" i="13" s="1"/>
  <c r="T26" i="13"/>
  <c r="U26" i="13" s="1"/>
  <c r="T27" i="13"/>
  <c r="U27" i="13" s="1"/>
  <c r="T28" i="13"/>
  <c r="U28" i="13" s="1"/>
  <c r="T29" i="13"/>
  <c r="U29" i="13" s="1"/>
  <c r="T30" i="13"/>
  <c r="U30" i="13" s="1"/>
  <c r="T13" i="13"/>
  <c r="U13" i="13" s="1"/>
  <c r="T14" i="13"/>
  <c r="U14" i="13" s="1"/>
  <c r="T32" i="13"/>
  <c r="U32" i="13" s="1"/>
  <c r="T33" i="13"/>
  <c r="U33" i="13" s="1"/>
  <c r="T34" i="13"/>
  <c r="U34" i="13" s="1"/>
  <c r="T37" i="13"/>
  <c r="U37" i="13" s="1"/>
  <c r="T38" i="13"/>
  <c r="U38" i="13" s="1"/>
  <c r="T39" i="13"/>
  <c r="U39" i="13" s="1"/>
  <c r="U7" i="13"/>
  <c r="T8" i="13"/>
  <c r="U8" i="13" l="1"/>
  <c r="V30" i="13"/>
  <c r="G10" i="6"/>
  <c r="T9" i="13" l="1"/>
  <c r="T15" i="13"/>
  <c r="U15" i="13" s="1"/>
  <c r="T12" i="13"/>
  <c r="U12" i="13" s="1"/>
  <c r="T46" i="13"/>
  <c r="U46" i="13" s="1"/>
  <c r="T11" i="13"/>
  <c r="U11" i="13" s="1"/>
  <c r="T10" i="13"/>
  <c r="U10" i="13" s="1"/>
  <c r="U9" i="13" l="1"/>
  <c r="V15" i="13" s="1"/>
  <c r="T41" i="13"/>
  <c r="I15" i="6" l="1"/>
  <c r="A3" i="6"/>
  <c r="G11" i="6"/>
  <c r="G13" i="6" l="1"/>
  <c r="I13" i="6" l="1"/>
  <c r="G16" i="6"/>
  <c r="K10" i="6" l="1"/>
  <c r="C11" i="6"/>
  <c r="C10" i="6"/>
  <c r="V8" i="15"/>
  <c r="V7" i="15"/>
  <c r="U9" i="15"/>
  <c r="T9" i="15"/>
  <c r="S9" i="15"/>
  <c r="I11" i="6" l="1"/>
  <c r="K16" i="6"/>
  <c r="C16" i="6"/>
  <c r="I10" i="6"/>
  <c r="I16" i="6" s="1"/>
  <c r="M11" i="6"/>
  <c r="M12" i="6"/>
  <c r="M15" i="6"/>
  <c r="M10" i="6"/>
  <c r="I53" i="7"/>
  <c r="V9" i="15"/>
  <c r="O13" i="6"/>
  <c r="O11" i="6"/>
  <c r="K49" i="7" l="1"/>
  <c r="K43" i="7"/>
  <c r="K45" i="7"/>
  <c r="K41" i="7"/>
  <c r="K50" i="7"/>
  <c r="K52" i="7"/>
  <c r="K42" i="7"/>
  <c r="K46" i="7"/>
  <c r="K39" i="7"/>
  <c r="K51" i="7"/>
  <c r="K48" i="7"/>
  <c r="K40" i="7"/>
  <c r="K47" i="7"/>
  <c r="K38" i="7"/>
  <c r="K44" i="7"/>
  <c r="E10" i="11"/>
  <c r="K37" i="7"/>
  <c r="O16" i="6"/>
  <c r="Q12" i="6"/>
  <c r="Q15" i="6"/>
  <c r="Q13" i="6"/>
  <c r="Q10" i="6"/>
  <c r="Q11" i="6"/>
  <c r="M16" i="6"/>
  <c r="K11" i="7"/>
  <c r="K12" i="7"/>
  <c r="K15" i="7"/>
  <c r="K14" i="7"/>
  <c r="K13" i="7"/>
  <c r="K33" i="7"/>
  <c r="K35" i="7"/>
  <c r="K36" i="7"/>
  <c r="K34" i="7"/>
  <c r="K10" i="7"/>
  <c r="K9" i="7"/>
  <c r="K8" i="7"/>
  <c r="K19" i="7"/>
  <c r="K29" i="7"/>
  <c r="K23" i="7"/>
  <c r="K20" i="7"/>
  <c r="K16" i="7"/>
  <c r="K31" i="7"/>
  <c r="K30" i="7"/>
  <c r="K17" i="7"/>
  <c r="K28" i="7"/>
  <c r="K18" i="7"/>
  <c r="K26" i="7"/>
  <c r="K22" i="7"/>
  <c r="K24" i="7"/>
  <c r="K32" i="7"/>
  <c r="K25" i="7"/>
  <c r="K21" i="7"/>
  <c r="K27" i="7"/>
  <c r="Y7" i="15"/>
  <c r="Q16" i="6" l="1"/>
  <c r="E9" i="11"/>
  <c r="K53" i="7"/>
  <c r="I10" i="11"/>
  <c r="I9" i="11" l="1"/>
  <c r="I12" i="11" s="1"/>
  <c r="E12" i="11"/>
  <c r="G7" i="11" l="1"/>
  <c r="G8" i="11"/>
  <c r="G10" i="11"/>
  <c r="G11" i="11"/>
  <c r="G9" i="11"/>
  <c r="G12" i="11" l="1"/>
  <c r="A3" i="8" l="1"/>
  <c r="D59" i="2" l="1"/>
  <c r="F59" i="2"/>
  <c r="H59" i="2"/>
  <c r="J59" i="2"/>
  <c r="J12" i="21" l="1"/>
  <c r="F12" i="21"/>
  <c r="A3" i="21"/>
  <c r="A3" i="13" l="1"/>
  <c r="C52" i="13" l="1"/>
  <c r="A3" i="19" l="1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G11" i="1"/>
  <c r="E11" i="1"/>
  <c r="D11" i="1"/>
  <c r="J9" i="18" l="1"/>
  <c r="L9" i="18"/>
  <c r="N9" i="18"/>
  <c r="R9" i="18"/>
  <c r="D16" i="6" l="1"/>
  <c r="F16" i="6"/>
  <c r="H16" i="6"/>
  <c r="J16" i="6"/>
  <c r="L16" i="6"/>
  <c r="N16" i="6"/>
  <c r="P16" i="6"/>
  <c r="A3" i="14" l="1"/>
  <c r="A3" i="7" l="1"/>
  <c r="A3" i="5"/>
  <c r="A3" i="15"/>
  <c r="A3" i="2" l="1"/>
  <c r="A3" i="11" l="1"/>
  <c r="A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<sst xmlns="http://schemas.openxmlformats.org/spreadsheetml/2006/main" count="565" uniqueCount="271">
  <si>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</si>
  <si>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</si>
  <si>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</si>
  <si>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</si>
  <si>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</si>
  <si>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</si>
  <si>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</si>
  <si>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</si>
  <si>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</si>
  <si>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</si>
  <si>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</si>
  <si>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</si>
  <si>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</si>
  <si>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</si>
  <si>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</si>
  <si>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</si>
  <si>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</si>
  <si>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</si>
  <si>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</si>
  <si>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</si>
  <si>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</si>
  <si>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</si>
  <si>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</si>
  <si>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</si>
  <si>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</si>
  <si>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</si>
  <si>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</si>
  <si>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سایر درآمدها</t>
  </si>
  <si>
    <t>قیمت بازار هر سهم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</si>
  <si>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</si>
  <si>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</si>
  <si>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</si>
  <si>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</si>
  <si>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</si>
  <si>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</si>
  <si>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</si>
  <si>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</si>
  <si>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</si>
  <si>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</si>
  <si>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</si>
  <si>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</si>
  <si>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</si>
  <si>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</si>
  <si>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</si>
  <si>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</si>
  <si>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</si>
  <si>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</si>
  <si>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</si>
  <si>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</si>
  <si>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</si>
  <si>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</si>
  <si>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</si>
  <si>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</si>
  <si>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</si>
  <si>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</si>
  <si>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</si>
  <si>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</si>
  <si>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</si>
  <si>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</si>
  <si>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</si>
  <si>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</si>
  <si>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</si>
  <si>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</si>
  <si>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</si>
  <si>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</si>
  <si>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</si>
  <si>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</si>
  <si>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</si>
  <si>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</si>
  <si>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</si>
  <si>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</si>
  <si>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</si>
  <si>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</si>
  <si>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</si>
  <si>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</si>
  <si>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</si>
  <si>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</si>
  <si>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</si>
  <si>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</si>
  <si>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درآمدها</t>
  </si>
  <si>
    <t>صندوق سرمایه گذاری ندای ثابت کیان</t>
  </si>
  <si>
    <t>-</t>
  </si>
  <si>
    <t>---</t>
  </si>
  <si>
    <t>بلی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</si>
  <si>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</si>
  <si>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</si>
  <si>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</si>
  <si>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</si>
  <si>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</si>
  <si>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</si>
  <si>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</si>
  <si>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</si>
  <si>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دارایی</t>
  </si>
  <si>
    <t>مسکن کوتاه مدت	-310058720239</t>
  </si>
  <si>
    <t>مسکن کوتاه مدت-4110001907768</t>
  </si>
  <si>
    <t xml:space="preserve">اقتصاد نوین کوتاه مدت-12485068674801	</t>
  </si>
  <si>
    <t xml:space="preserve">سامان کوتاه مدت-86481039984291	</t>
  </si>
  <si>
    <t xml:space="preserve"> خاور میانه کوتاه مدت-100510810707074272	</t>
  </si>
  <si>
    <t>صادرات کوتاه مدت-0217918818004</t>
  </si>
  <si>
    <t>ملی کوتاه مدت- 0228580617005</t>
  </si>
  <si>
    <t>سینا جاری-371452773001</t>
  </si>
  <si>
    <t>رفاه کوتاه مدت 359490219</t>
  </si>
  <si>
    <t>درآمد حاصل از سرمایه­گذاری در سهام و حق تقدم سهام و صندوق‌های سرمایه‌گذاری</t>
  </si>
  <si>
    <t>تعدیل کارمزد کارگزاری</t>
  </si>
  <si>
    <t>مرابحه عام دولت142-ش.خ031009 (اراد142)</t>
  </si>
  <si>
    <t>1403/10/09</t>
  </si>
  <si>
    <t xml:space="preserve">پاسارگاد کوتاه مدت 2098100152272681	</t>
  </si>
  <si>
    <t>تجارت کوتاه مدت 104458815</t>
  </si>
  <si>
    <t>بانک شهر کوتاه مدت 7001003242019</t>
  </si>
  <si>
    <t>بانک تجارت کوتاه مدت 24845478</t>
  </si>
  <si>
    <t>بانک شهر 7001003374403</t>
  </si>
  <si>
    <t>بانک شهر 7001003400925</t>
  </si>
  <si>
    <t>بانک شهر 7001003374935</t>
  </si>
  <si>
    <t>بانک شهر 7001003527830</t>
  </si>
  <si>
    <t>بانک شهر 7001003556987</t>
  </si>
  <si>
    <t>بانک شهر ۷۰۰۱۰۰۳۶۳۱۸۷۲</t>
  </si>
  <si>
    <t>اسناد خزانه-م1بودجه01-040326 (اخزا101)</t>
  </si>
  <si>
    <t>مرابحه عالیس-کیان070224 (عالیس072)</t>
  </si>
  <si>
    <t>1401/02/26</t>
  </si>
  <si>
    <t>1403/02/24</t>
  </si>
  <si>
    <t>1404/03/26</t>
  </si>
  <si>
    <t>1407/02/24</t>
  </si>
  <si>
    <t>بانک شهر 7001003694364</t>
  </si>
  <si>
    <t>بانک سامان کوتاه مدت 1-3998429-810-830</t>
  </si>
  <si>
    <t xml:space="preserve"> مطابق بند 3-2 دستورالعمل نحوه تعیین قیمت خرید و فروش اوراق بهادار </t>
  </si>
  <si>
    <t>صندوق سرمایه گذاری ...................</t>
  </si>
  <si>
    <t>برای ماه منتهی به ............</t>
  </si>
  <si>
    <t>1-3-2-مبالغ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</si>
  <si>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</si>
  <si>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</si>
  <si>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</si>
  <si>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</si>
  <si>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</si>
  <si>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</si>
  <si>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</si>
  <si>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</si>
  <si>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r>
      <t>شرکت</t>
    </r>
    <r>
      <rPr>
        <sz val="11"/>
        <color theme="1"/>
        <rFont val="Calibri"/>
        <family val="2"/>
        <scheme val="minor"/>
      </rPr>
      <t>...</t>
    </r>
  </si>
  <si>
    <t>مدیر صندوق</t>
  </si>
  <si>
    <t>ورقه الف</t>
  </si>
  <si>
    <t>ورقه ب</t>
  </si>
  <si>
    <t xml:space="preserve">شرکت مادر </t>
  </si>
  <si>
    <t>ورقه د</t>
  </si>
  <si>
    <r>
      <t>صندوق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</t>
    </r>
    <r>
      <rPr>
        <sz val="7"/>
        <color theme="1"/>
        <rFont val="Calibri"/>
        <family val="2"/>
        <scheme val="minor"/>
      </rPr>
      <t>…</t>
    </r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</si>
  <si>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</si>
  <si>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</si>
  <si>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</si>
  <si>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</si>
  <si>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</si>
  <si>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</si>
  <si>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</si>
  <si>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</si>
  <si>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 xml:space="preserve">   </t>
  </si>
  <si>
    <t xml:space="preserve">                 </t>
  </si>
  <si>
    <t>د- سود اوراق بهادار با درآمد ثابت</t>
  </si>
  <si>
    <t>د- سود سپرده بانکی</t>
  </si>
  <si>
    <t>صندوق سرمایه گذاری اختصاصی بازارگردانی کیان</t>
  </si>
  <si>
    <t>شرکت بهار رز عالیس چناران</t>
  </si>
  <si>
    <t>میانگین نرخ بازده تا سررسید قراردادهای منعقده 
(مؤثر سالانه)</t>
  </si>
  <si>
    <t>‫قیمت پایانی</t>
  </si>
  <si>
    <t>بانک شهر 7001004144961</t>
  </si>
  <si>
    <t xml:space="preserve">بانک شهر 7001004144875 </t>
  </si>
  <si>
    <t>بانک شهر 7001004144835</t>
  </si>
  <si>
    <t>بانک شهر 7001004144834</t>
  </si>
  <si>
    <t>اخزا104</t>
  </si>
  <si>
    <t>لوازم مادیران063</t>
  </si>
  <si>
    <t>ص.س. در اوراق بهادار مبتنی بر سکه طلای کیان (گوهر)</t>
  </si>
  <si>
    <t>صکوک مرابحه فروس670-بدون ضامن (صفروس670)</t>
  </si>
  <si>
    <t>1403/07/29</t>
  </si>
  <si>
    <t>1406/07/29</t>
  </si>
  <si>
    <t>بانک صادرات 0407482631001</t>
  </si>
  <si>
    <t>پاسارگاد 209303152272683</t>
  </si>
  <si>
    <t>بانک صادرات 0407480984009</t>
  </si>
  <si>
    <t>گردشگری کوتاه مدت 164.71.1772702.1</t>
  </si>
  <si>
    <t>گردشگری بلند مدت 164.333.1772702.1</t>
  </si>
  <si>
    <t>بانک تجارت 0479604349703</t>
  </si>
  <si>
    <t>بانک تجارت 0479604275643</t>
  </si>
  <si>
    <t>بانک تجارت 0479604255640</t>
  </si>
  <si>
    <t>164.333.1772702.1</t>
  </si>
  <si>
    <t xml:space="preserve"> شرکت فروسیلیس ایران</t>
  </si>
  <si>
    <t>2-2-درآمد حاصل از سرمایه­گذاری در واحدهای صندوق:</t>
  </si>
  <si>
    <t>صندوق</t>
  </si>
  <si>
    <t>درآمد سود صندوق</t>
  </si>
  <si>
    <t>یادداشت ...</t>
  </si>
  <si>
    <t>درصد از کل درآمد ها</t>
  </si>
  <si>
    <t>3-2-درآمد حاصل از سرمایه­گذاری در اوراق بهادار با درآمد ثابت:</t>
  </si>
  <si>
    <t>4-2-درآمد حاصل از سرمایه­گذاری در سپرده بانکی و گواهی سپرده:</t>
  </si>
  <si>
    <t>درآمد حاصل از سرمایه­گذاری در واحدهای صندوق</t>
  </si>
  <si>
    <t>5-2</t>
  </si>
  <si>
    <t>5-2-سایر درآمدها:</t>
  </si>
  <si>
    <t>برای ماه منتهی به 1403/10/30</t>
  </si>
  <si>
    <t>1403/10/30</t>
  </si>
  <si>
    <t>از ابتدای سال مالی تا پایان دی ماه</t>
  </si>
  <si>
    <t>مرابحه عام دولت137-ش.خ061229 (اراد137)</t>
  </si>
  <si>
    <t>مرابحه عام دولت181-ش.خ050424 (اراد181)</t>
  </si>
  <si>
    <t>1402/06/29</t>
  </si>
  <si>
    <t>1403/07/24</t>
  </si>
  <si>
    <t>1406/12/29</t>
  </si>
  <si>
    <t>1405/04/24</t>
  </si>
  <si>
    <t>شهر بلندمدت 7001004711013</t>
  </si>
  <si>
    <t>تجارت بلندمدت 0479604482557</t>
  </si>
  <si>
    <t>تجارت بلندمدت 0479604464102</t>
  </si>
  <si>
    <t>بانک تجارت بلندمدت 0479604611065</t>
  </si>
  <si>
    <t>بانک تجارت بلندمدت 0479604588559</t>
  </si>
  <si>
    <t>بانک تجارت بلندمدت 0479604581790</t>
  </si>
  <si>
    <t>بانک تجارت بلندمدت 0479604567790</t>
  </si>
  <si>
    <t>1-3998429-810-830</t>
  </si>
  <si>
    <t>منتهی به 1403/11/30</t>
  </si>
  <si>
    <t>برای ماه منتهی به 1403/11/30</t>
  </si>
  <si>
    <t>1403/11/30</t>
  </si>
  <si>
    <t>طی بهمن ماه</t>
  </si>
  <si>
    <t>از ابتدای سال مالی تا پایان بهمن ماه</t>
  </si>
  <si>
    <t>از ابتدای سال مالی تا بهمن ماه</t>
  </si>
  <si>
    <t>گردشگری بلندمدت 164.333.1772702.4</t>
  </si>
  <si>
    <t>گردشگری بلندمدت 164.333.1772702.3</t>
  </si>
  <si>
    <t>گردشگری بلندمدت 164.333.1772702.2</t>
  </si>
  <si>
    <t>صادرات بلندمدت 0407608871004</t>
  </si>
  <si>
    <t>صادرات بلندمدت 0407596963001</t>
  </si>
  <si>
    <t>صادرات بلندمدت 0407585979002</t>
  </si>
  <si>
    <t>تجارت بلندمدت 0479604709489</t>
  </si>
  <si>
    <t>پاسارگاد بلندمدت 209304152272683</t>
  </si>
  <si>
    <t>پاسارگاد بلندمدت 209304152272682</t>
  </si>
  <si>
    <t>پاسارگاد بلندمدت 209304152272681</t>
  </si>
  <si>
    <t> صادرات بلندمدت 0407608871004</t>
  </si>
  <si>
    <t> صادرات بلندمدت 0407596963001</t>
  </si>
  <si>
    <t> صادرات بلندمدت 0407585979002</t>
  </si>
  <si>
    <t> بانک صادرات 0407482631001</t>
  </si>
  <si>
    <t> بانک صادرات 0407480984009</t>
  </si>
  <si>
    <t xml:space="preserve"> 0228580617005</t>
  </si>
  <si>
    <t>310058720239</t>
  </si>
  <si>
    <t>164.333.1772702.4</t>
  </si>
  <si>
    <t>164.333.1772702.3</t>
  </si>
  <si>
    <t>164.333.1772702.2</t>
  </si>
  <si>
    <t xml:space="preserve"> 7001004711013</t>
  </si>
  <si>
    <t xml:space="preserve">6481039984291	</t>
  </si>
  <si>
    <t xml:space="preserve"> 359490219</t>
  </si>
  <si>
    <t xml:space="preserve"> 0479604709489</t>
  </si>
  <si>
    <t xml:space="preserve"> 0479604482557</t>
  </si>
  <si>
    <t xml:space="preserve"> 0479604464102</t>
  </si>
  <si>
    <t xml:space="preserve"> 209304152272683</t>
  </si>
  <si>
    <t xml:space="preserve"> 209304152272682</t>
  </si>
  <si>
    <t xml:space="preserve"> 209304152272681</t>
  </si>
  <si>
    <t xml:space="preserve"> 209303152272683</t>
  </si>
  <si>
    <t xml:space="preserve"> 7001003242019</t>
  </si>
  <si>
    <t xml:space="preserve"> ۷۰۰۱۰۰۳۶۳۱۸۷۲</t>
  </si>
  <si>
    <t xml:space="preserve"> 7001004144961</t>
  </si>
  <si>
    <t xml:space="preserve">7001004144875 </t>
  </si>
  <si>
    <t xml:space="preserve"> 7001004144835</t>
  </si>
  <si>
    <t xml:space="preserve"> 7001004144834</t>
  </si>
  <si>
    <t xml:space="preserve"> 7001003694364</t>
  </si>
  <si>
    <t xml:space="preserve"> 7001003556987</t>
  </si>
  <si>
    <t xml:space="preserve"> 7001003527830</t>
  </si>
  <si>
    <t xml:space="preserve"> 7001003400925</t>
  </si>
  <si>
    <t xml:space="preserve"> 7001003374935</t>
  </si>
  <si>
    <t xml:space="preserve"> 7001003374403</t>
  </si>
  <si>
    <t xml:space="preserve"> 24845478</t>
  </si>
  <si>
    <t xml:space="preserve"> 0479604611065</t>
  </si>
  <si>
    <t xml:space="preserve"> 0479604588559</t>
  </si>
  <si>
    <t xml:space="preserve"> 0479604581790</t>
  </si>
  <si>
    <t xml:space="preserve"> 0479604567790</t>
  </si>
  <si>
    <t xml:space="preserve"> 0479604349703</t>
  </si>
  <si>
    <t xml:space="preserve"> 0479604275643</t>
  </si>
  <si>
    <t xml:space="preserve"> 0479604255640</t>
  </si>
  <si>
    <t xml:space="preserve">12485068674801	</t>
  </si>
  <si>
    <t xml:space="preserve">100510810707074272	</t>
  </si>
  <si>
    <t>0217918818004</t>
  </si>
  <si>
    <t xml:space="preserve"> 0407482631001</t>
  </si>
  <si>
    <t xml:space="preserve"> 0407585979002</t>
  </si>
  <si>
    <t xml:space="preserve"> 0407596963001</t>
  </si>
  <si>
    <t xml:space="preserve"> 0407480984009</t>
  </si>
  <si>
    <t xml:space="preserve"> 0407608871004</t>
  </si>
  <si>
    <t>‫طی بهمن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</si>
</sst>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-* #,##0_-;_-* #,##0\-;_-* &quot;-&quot;??_-;_-@_-"/>
    <numFmt numFmtId="167" formatCode="_-* #,##0.00000000_-;_-* #,##0.00000000\-;_-* &quot;-&quot;??_-;_-@_-"/>
    <numFmt numFmtId="168" formatCode="_(* #,##0.000_);_(* \(#,##0.000\);_(* &quot;-&quot;??_);_(@_)"/>
    <numFmt numFmtId="169" formatCode="0.0%"/>
    <numFmt numFmtId="170" formatCode="_(* #,##0.00000000_);_(* \(#,##0.00000000\);_(* &quot;-&quot;??_);_(@_)"/>
    <numFmt numFmtId="171" formatCode="_(* #,##0.0000000_);_(* \(#,##0.0000000\);_(* &quot;-&quot;??_);_(@_)"/>
  </numFmts>
  <fonts count="76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1"/>
      <color rgb="FFFF0000"/>
      <name val="B Nazanin"/>
      <charset val="178"/>
    </font>
    <font>
      <b/>
      <sz val="11"/>
      <color theme="1"/>
      <name val="B Mitra"/>
      <charset val="178"/>
    </font>
    <font>
      <b/>
      <sz val="18"/>
      <color rgb="FF0062AC"/>
      <name val="B Mitra"/>
      <charset val="178"/>
    </font>
    <font>
      <b/>
      <sz val="9"/>
      <color rgb="FF00A651"/>
      <name val="IranSansFaNum"/>
    </font>
    <font>
      <b/>
      <sz val="12"/>
      <color rgb="FF0062AC"/>
      <name val="B Titr"/>
      <charset val="178"/>
    </font>
    <font>
      <sz val="8"/>
      <color theme="1"/>
      <name val="B Mitra"/>
      <charset val="178"/>
    </font>
    <font>
      <sz val="9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Calibri"/>
      <family val="2"/>
      <scheme val="minor"/>
    </font>
    <font>
      <b/>
      <sz val="14"/>
      <name val="B Mitra"/>
      <charset val="178"/>
    </font>
    <font>
      <b/>
      <sz val="9"/>
      <color rgb="FF0062AC"/>
      <name val="B Mitra"/>
      <charset val="178"/>
    </font>
    <font>
      <sz val="11"/>
      <name val="B Nazanin"/>
      <charset val="178"/>
    </font>
    <font>
      <sz val="10"/>
      <name val="B Mitra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9"/>
      <color theme="1"/>
      <name val="Calibri"/>
      <family val="2"/>
      <charset val="178"/>
      <scheme val="minor"/>
    </font>
    <font>
      <b/>
      <sz val="10"/>
      <color rgb="FF2E2E2E"/>
      <name val="IranSansFaNum"/>
    </font>
    <font>
      <b/>
      <sz val="9"/>
      <color theme="1"/>
      <name val="B Mitra"/>
      <charset val="178"/>
    </font>
    <font>
      <b/>
      <sz val="9"/>
      <color rgb="FF000000"/>
      <name val="B Mitra"/>
      <charset val="178"/>
    </font>
    <font>
      <sz val="8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39" fillId="0" borderId="0" applyNumberFormat="0" applyFill="0" applyBorder="0" applyAlignment="0" applyProtection="0"/>
  </cellStyleXfs>
  <cellXfs count="422">
    <xf numFmtId="0" fontId="0" fillId="0" borderId="0" xfId="0"/>
    <xf numFmtId="0" fontId="6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vertical="center" wrapText="1" readingOrder="2"/>
    </xf>
    <xf numFmtId="164" fontId="6" fillId="0" borderId="0" xfId="1" applyNumberFormat="1" applyFont="1" applyBorder="1" applyAlignment="1">
      <alignment vertical="center" wrapText="1" readingOrder="2"/>
    </xf>
    <xf numFmtId="0" fontId="7" fillId="0" borderId="0" xfId="0" applyFont="1" applyAlignment="1">
      <alignment vertical="center" wrapText="1" readingOrder="2"/>
    </xf>
    <xf numFmtId="0" fontId="7" fillId="0" borderId="0" xfId="0" applyFont="1" applyAlignment="1">
      <alignment horizontal="center" vertical="center" readingOrder="2"/>
    </xf>
    <xf numFmtId="37" fontId="9" fillId="0" borderId="0" xfId="0" applyNumberFormat="1" applyFont="1" applyAlignment="1">
      <alignment horizontal="center" vertical="center"/>
    </xf>
    <xf numFmtId="0" fontId="15" fillId="0" borderId="0" xfId="0" applyFont="1"/>
    <xf numFmtId="37" fontId="1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1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4" fillId="0" borderId="9" xfId="0" applyNumberFormat="1" applyFont="1" applyBorder="1" applyAlignment="1">
      <alignment horizontal="center" vertical="center"/>
    </xf>
    <xf numFmtId="37" fontId="14" fillId="0" borderId="13" xfId="0" applyNumberFormat="1" applyFont="1" applyBorder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0" xfId="1" applyNumberFormat="1" applyFont="1" applyBorder="1" applyAlignment="1">
      <alignment horizontal="center" vertical="center" readingOrder="2"/>
    </xf>
    <xf numFmtId="164" fontId="7" fillId="0" borderId="0" xfId="1" applyNumberFormat="1" applyFont="1" applyAlignment="1">
      <alignment vertical="center"/>
    </xf>
    <xf numFmtId="164" fontId="7" fillId="0" borderId="0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right" vertical="center" readingOrder="2"/>
    </xf>
    <xf numFmtId="164" fontId="7" fillId="0" borderId="2" xfId="1" applyNumberFormat="1" applyFont="1" applyFill="1" applyBorder="1" applyAlignment="1">
      <alignment horizontal="right" vertical="center" readingOrder="2"/>
    </xf>
    <xf numFmtId="10" fontId="7" fillId="0" borderId="2" xfId="2" applyNumberFormat="1" applyFont="1" applyBorder="1" applyAlignment="1">
      <alignment horizontal="center" vertical="center" readingOrder="2"/>
    </xf>
    <xf numFmtId="164" fontId="7" fillId="0" borderId="0" xfId="1" applyNumberFormat="1" applyFont="1" applyFill="1" applyAlignment="1">
      <alignment vertical="center"/>
    </xf>
    <xf numFmtId="10" fontId="7" fillId="0" borderId="0" xfId="2" applyNumberFormat="1" applyFont="1" applyAlignment="1">
      <alignment horizontal="center" vertical="center"/>
    </xf>
    <xf numFmtId="164" fontId="21" fillId="0" borderId="0" xfId="1" applyNumberFormat="1" applyFont="1" applyAlignment="1">
      <alignment vertical="center"/>
    </xf>
    <xf numFmtId="164" fontId="21" fillId="0" borderId="8" xfId="1" applyNumberFormat="1" applyFont="1" applyBorder="1" applyAlignment="1">
      <alignment vertical="center"/>
    </xf>
    <xf numFmtId="164" fontId="21" fillId="0" borderId="0" xfId="1" applyNumberFormat="1" applyFont="1" applyAlignment="1">
      <alignment horizontal="center" vertical="center" wrapText="1" shrinkToFit="1"/>
    </xf>
    <xf numFmtId="164" fontId="16" fillId="0" borderId="0" xfId="1" applyNumberFormat="1" applyFont="1" applyAlignment="1">
      <alignment vertical="center"/>
    </xf>
    <xf numFmtId="164" fontId="10" fillId="0" borderId="8" xfId="1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17" fillId="0" borderId="0" xfId="1" applyNumberFormat="1" applyFont="1" applyAlignment="1">
      <alignment vertical="center"/>
    </xf>
    <xf numFmtId="165" fontId="17" fillId="0" borderId="0" xfId="1" applyNumberFormat="1" applyFont="1" applyAlignment="1">
      <alignment vertical="center"/>
    </xf>
    <xf numFmtId="165" fontId="17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10" fontId="9" fillId="0" borderId="0" xfId="2" applyNumberFormat="1" applyFont="1" applyAlignment="1">
      <alignment horizontal="center" vertical="center"/>
    </xf>
    <xf numFmtId="164" fontId="40" fillId="0" borderId="0" xfId="1" applyNumberFormat="1" applyFont="1" applyAlignment="1">
      <alignment vertical="center"/>
    </xf>
    <xf numFmtId="0" fontId="40" fillId="0" borderId="0" xfId="0" applyFont="1" applyAlignment="1">
      <alignment vertical="center"/>
    </xf>
    <xf numFmtId="165" fontId="40" fillId="0" borderId="0" xfId="1" applyNumberFormat="1" applyFont="1" applyAlignment="1">
      <alignment vertical="center"/>
    </xf>
    <xf numFmtId="165" fontId="40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64" fontId="10" fillId="0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vertical="center" wrapText="1"/>
    </xf>
    <xf numFmtId="37" fontId="14" fillId="0" borderId="0" xfId="0" quotePrefix="1" applyNumberFormat="1" applyFont="1" applyAlignment="1">
      <alignment horizontal="right" vertical="center" wrapText="1"/>
    </xf>
    <xf numFmtId="164" fontId="7" fillId="0" borderId="0" xfId="1" applyNumberFormat="1" applyFont="1" applyFill="1" applyAlignment="1">
      <alignment horizontal="center" vertical="center"/>
    </xf>
    <xf numFmtId="164" fontId="21" fillId="0" borderId="1" xfId="1" applyNumberFormat="1" applyFont="1" applyFill="1" applyBorder="1"/>
    <xf numFmtId="164" fontId="19" fillId="0" borderId="1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horizontal="center" vertical="center"/>
    </xf>
    <xf numFmtId="164" fontId="21" fillId="0" borderId="0" xfId="1" applyNumberFormat="1" applyFont="1" applyFill="1" applyAlignment="1">
      <alignment vertical="center"/>
    </xf>
    <xf numFmtId="10" fontId="14" fillId="0" borderId="0" xfId="2" applyNumberFormat="1" applyFont="1" applyFill="1" applyAlignment="1">
      <alignment horizontal="center" vertical="center"/>
    </xf>
    <xf numFmtId="164" fontId="17" fillId="0" borderId="0" xfId="1" applyNumberFormat="1" applyFont="1" applyFill="1"/>
    <xf numFmtId="164" fontId="11" fillId="0" borderId="0" xfId="1" applyNumberFormat="1" applyFont="1" applyFill="1" applyAlignment="1">
      <alignment vertical="center"/>
    </xf>
    <xf numFmtId="164" fontId="11" fillId="0" borderId="0" xfId="1" applyNumberFormat="1" applyFont="1" applyFill="1"/>
    <xf numFmtId="164" fontId="16" fillId="0" borderId="0" xfId="1" applyNumberFormat="1" applyFont="1" applyFill="1" applyAlignment="1">
      <alignment horizontal="center"/>
    </xf>
    <xf numFmtId="164" fontId="16" fillId="0" borderId="0" xfId="1" applyNumberFormat="1" applyFont="1" applyFill="1"/>
    <xf numFmtId="164" fontId="16" fillId="0" borderId="4" xfId="1" applyNumberFormat="1" applyFont="1" applyFill="1" applyBorder="1" applyAlignment="1">
      <alignment horizontal="center" vertical="center" wrapText="1"/>
    </xf>
    <xf numFmtId="164" fontId="16" fillId="0" borderId="0" xfId="1" applyNumberFormat="1" applyFont="1" applyFill="1" applyAlignment="1">
      <alignment horizontal="center" vertical="center" wrapText="1"/>
    </xf>
    <xf numFmtId="164" fontId="21" fillId="0" borderId="0" xfId="1" applyNumberFormat="1" applyFont="1" applyFill="1"/>
    <xf numFmtId="164" fontId="11" fillId="0" borderId="0" xfId="1" applyNumberFormat="1" applyFont="1" applyFill="1" applyAlignment="1">
      <alignment horizontal="center" vertical="center"/>
    </xf>
    <xf numFmtId="165" fontId="11" fillId="0" borderId="0" xfId="1" applyNumberFormat="1" applyFont="1" applyFill="1" applyAlignment="1">
      <alignment horizontal="center" vertical="center"/>
    </xf>
    <xf numFmtId="164" fontId="11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/>
    <xf numFmtId="165" fontId="15" fillId="0" borderId="0" xfId="1" applyNumberFormat="1" applyFont="1" applyFill="1"/>
    <xf numFmtId="164" fontId="29" fillId="0" borderId="14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Alignment="1">
      <alignment vertical="center" wrapText="1"/>
    </xf>
    <xf numFmtId="164" fontId="21" fillId="0" borderId="3" xfId="1" applyNumberFormat="1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 wrapText="1"/>
    </xf>
    <xf numFmtId="9" fontId="11" fillId="0" borderId="0" xfId="2" applyFont="1" applyFill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vertical="center"/>
    </xf>
    <xf numFmtId="164" fontId="21" fillId="0" borderId="0" xfId="1" applyNumberFormat="1" applyFont="1" applyFill="1" applyBorder="1" applyAlignment="1">
      <alignment vertical="center" wrapText="1"/>
    </xf>
    <xf numFmtId="164" fontId="13" fillId="0" borderId="0" xfId="1" applyNumberFormat="1" applyFont="1" applyFill="1" applyAlignment="1">
      <alignment horizontal="center"/>
    </xf>
    <xf numFmtId="164" fontId="10" fillId="0" borderId="0" xfId="1" applyNumberFormat="1" applyFont="1" applyFill="1" applyAlignment="1"/>
    <xf numFmtId="166" fontId="45" fillId="0" borderId="0" xfId="1" applyNumberFormat="1" applyFont="1" applyFill="1" applyAlignment="1">
      <alignment horizontal="left" vertical="center" wrapText="1" shrinkToFit="1"/>
    </xf>
    <xf numFmtId="164" fontId="45" fillId="0" borderId="0" xfId="1" applyNumberFormat="1" applyFont="1" applyFill="1" applyAlignment="1">
      <alignment horizontal="left" vertical="center" wrapText="1" shrinkToFit="1"/>
    </xf>
    <xf numFmtId="167" fontId="45" fillId="0" borderId="0" xfId="1" applyNumberFormat="1" applyFont="1" applyFill="1" applyAlignment="1">
      <alignment horizontal="left" vertical="center" wrapText="1" shrinkToFit="1"/>
    </xf>
    <xf numFmtId="164" fontId="43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10" fillId="0" borderId="0" xfId="1" applyNumberFormat="1" applyFont="1" applyFill="1" applyAlignment="1">
      <alignment horizontal="center" vertical="center" wrapText="1" readingOrder="2"/>
    </xf>
    <xf numFmtId="41" fontId="11" fillId="0" borderId="0" xfId="1" applyNumberFormat="1" applyFont="1" applyFill="1" applyBorder="1" applyAlignment="1">
      <alignment horizontal="center" vertical="center"/>
    </xf>
    <xf numFmtId="170" fontId="55" fillId="0" borderId="0" xfId="1" applyNumberFormat="1" applyFont="1" applyFill="1" applyAlignment="1">
      <alignment vertical="center"/>
    </xf>
    <xf numFmtId="0" fontId="11" fillId="0" borderId="0" xfId="0" applyFont="1"/>
    <xf numFmtId="0" fontId="10" fillId="0" borderId="0" xfId="0" applyFont="1"/>
    <xf numFmtId="0" fontId="43" fillId="0" borderId="0" xfId="0" applyFont="1"/>
    <xf numFmtId="37" fontId="42" fillId="0" borderId="0" xfId="0" applyNumberFormat="1" applyFont="1" applyAlignment="1">
      <alignment horizontal="right" vertical="center"/>
    </xf>
    <xf numFmtId="0" fontId="43" fillId="0" borderId="3" xfId="0" applyFont="1" applyBorder="1"/>
    <xf numFmtId="168" fontId="44" fillId="0" borderId="0" xfId="0" applyNumberFormat="1" applyFont="1" applyAlignment="1">
      <alignment horizontal="center" vertical="center" wrapText="1" shrinkToFit="1"/>
    </xf>
    <xf numFmtId="0" fontId="45" fillId="0" borderId="0" xfId="0" applyFont="1"/>
    <xf numFmtId="164" fontId="43" fillId="0" borderId="0" xfId="0" applyNumberFormat="1" applyFont="1" applyAlignment="1">
      <alignment vertical="center"/>
    </xf>
    <xf numFmtId="164" fontId="44" fillId="0" borderId="0" xfId="0" applyNumberFormat="1" applyFont="1" applyAlignment="1">
      <alignment horizontal="left" vertical="center" wrapText="1" shrinkToFit="1"/>
    </xf>
    <xf numFmtId="164" fontId="0" fillId="0" borderId="0" xfId="0" applyNumberFormat="1"/>
    <xf numFmtId="0" fontId="0" fillId="0" borderId="0" xfId="0" applyAlignment="1">
      <alignment horizontal="right"/>
    </xf>
    <xf numFmtId="3" fontId="41" fillId="0" borderId="0" xfId="0" applyNumberFormat="1" applyFont="1"/>
    <xf numFmtId="0" fontId="21" fillId="0" borderId="0" xfId="0" applyFo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right" vertical="center" readingOrder="2"/>
    </xf>
    <xf numFmtId="0" fontId="20" fillId="0" borderId="0" xfId="0" applyFont="1" applyAlignment="1">
      <alignment vertical="center" readingOrder="2"/>
    </xf>
    <xf numFmtId="38" fontId="15" fillId="0" borderId="0" xfId="0" applyNumberFormat="1" applyFont="1"/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/>
    </xf>
    <xf numFmtId="164" fontId="21" fillId="0" borderId="1" xfId="1" applyNumberFormat="1" applyFont="1" applyFill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49" fontId="21" fillId="0" borderId="0" xfId="0" applyNumberFormat="1" applyFont="1" applyAlignment="1">
      <alignment horizontal="center" vertical="center" readingOrder="2"/>
    </xf>
    <xf numFmtId="164" fontId="19" fillId="0" borderId="0" xfId="1" applyNumberFormat="1" applyFont="1" applyFill="1" applyAlignment="1">
      <alignment horizontal="right" vertical="center" readingOrder="2"/>
    </xf>
    <xf numFmtId="0" fontId="19" fillId="0" borderId="0" xfId="0" applyFont="1" applyAlignment="1">
      <alignment horizontal="center" vertical="center" readingOrder="2"/>
    </xf>
    <xf numFmtId="164" fontId="48" fillId="0" borderId="0" xfId="0" applyNumberFormat="1" applyFont="1" applyAlignment="1">
      <alignment vertical="center" wrapText="1" shrinkToFit="1"/>
    </xf>
    <xf numFmtId="0" fontId="21" fillId="0" borderId="0" xfId="0" applyFont="1" applyAlignment="1">
      <alignment horizontal="right" vertical="center"/>
    </xf>
    <xf numFmtId="38" fontId="19" fillId="0" borderId="10" xfId="0" applyNumberFormat="1" applyFont="1" applyBorder="1" applyAlignment="1">
      <alignment horizontal="right" vertical="center" readingOrder="2"/>
    </xf>
    <xf numFmtId="0" fontId="15" fillId="0" borderId="0" xfId="0" applyFont="1" applyAlignment="1">
      <alignment horizontal="right" vertical="center"/>
    </xf>
    <xf numFmtId="3" fontId="50" fillId="0" borderId="0" xfId="0" applyNumberFormat="1" applyFont="1"/>
    <xf numFmtId="164" fontId="15" fillId="0" borderId="0" xfId="1" applyNumberFormat="1" applyFont="1" applyFill="1" applyAlignment="1"/>
    <xf numFmtId="164" fontId="15" fillId="0" borderId="0" xfId="0" applyNumberFormat="1" applyFont="1"/>
    <xf numFmtId="3" fontId="15" fillId="0" borderId="0" xfId="0" applyNumberFormat="1" applyFont="1"/>
    <xf numFmtId="164" fontId="49" fillId="0" borderId="0" xfId="1" applyNumberFormat="1" applyFont="1" applyFill="1" applyAlignment="1"/>
    <xf numFmtId="164" fontId="35" fillId="0" borderId="0" xfId="0" applyNumberFormat="1" applyFont="1" applyAlignment="1">
      <alignment vertical="center" wrapText="1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19" fillId="0" borderId="0" xfId="0" applyFont="1"/>
    <xf numFmtId="0" fontId="29" fillId="0" borderId="1" xfId="0" applyFont="1" applyBorder="1" applyAlignment="1">
      <alignment horizontal="center" vertical="center" wrapText="1" readingOrder="2"/>
    </xf>
    <xf numFmtId="37" fontId="14" fillId="0" borderId="0" xfId="0" quotePrefix="1" applyNumberFormat="1" applyFont="1" applyAlignment="1">
      <alignment horizontal="center" vertical="center" wrapText="1"/>
    </xf>
    <xf numFmtId="164" fontId="46" fillId="2" borderId="0" xfId="0" applyNumberFormat="1" applyFont="1" applyFill="1" applyAlignment="1">
      <alignment horizontal="center" vertical="center" wrapText="1"/>
    </xf>
    <xf numFmtId="0" fontId="47" fillId="2" borderId="0" xfId="0" applyFont="1" applyFill="1" applyAlignment="1">
      <alignment horizontal="center" vertical="center" wrapText="1"/>
    </xf>
    <xf numFmtId="164" fontId="48" fillId="2" borderId="0" xfId="0" applyNumberFormat="1" applyFont="1" applyFill="1" applyAlignment="1">
      <alignment vertical="center" wrapText="1" shrinkToFit="1"/>
    </xf>
    <xf numFmtId="164" fontId="11" fillId="0" borderId="0" xfId="1" applyNumberFormat="1" applyFont="1" applyFill="1" applyBorder="1" applyAlignment="1">
      <alignment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right" vertical="center" wrapText="1"/>
    </xf>
    <xf numFmtId="164" fontId="15" fillId="2" borderId="0" xfId="1" applyNumberFormat="1" applyFont="1" applyFill="1" applyAlignment="1"/>
    <xf numFmtId="164" fontId="11" fillId="0" borderId="0" xfId="1" applyNumberFormat="1" applyFont="1" applyFill="1" applyBorder="1" applyAlignment="1">
      <alignment horizontal="center" vertical="center"/>
    </xf>
    <xf numFmtId="165" fontId="21" fillId="0" borderId="1" xfId="1" applyNumberFormat="1" applyFont="1" applyFill="1" applyBorder="1" applyAlignment="1">
      <alignment horizontal="center" vertical="center" wrapText="1"/>
    </xf>
    <xf numFmtId="3" fontId="21" fillId="0" borderId="0" xfId="0" applyNumberFormat="1" applyFont="1"/>
    <xf numFmtId="37" fontId="34" fillId="0" borderId="0" xfId="0" quotePrefix="1" applyNumberFormat="1" applyFont="1" applyAlignment="1">
      <alignment horizontal="right" vertical="center" wrapText="1"/>
    </xf>
    <xf numFmtId="164" fontId="21" fillId="0" borderId="0" xfId="1" applyNumberFormat="1" applyFont="1" applyFill="1" applyAlignment="1">
      <alignment horizontal="right" vertical="center"/>
    </xf>
    <xf numFmtId="169" fontId="19" fillId="0" borderId="0" xfId="2" applyNumberFormat="1" applyFont="1" applyFill="1" applyAlignment="1">
      <alignment horizontal="center" vertical="center" wrapText="1" shrinkToFit="1" readingOrder="2"/>
    </xf>
    <xf numFmtId="169" fontId="19" fillId="0" borderId="0" xfId="2" applyNumberFormat="1" applyFont="1" applyAlignment="1">
      <alignment horizontal="center" vertical="center" wrapText="1" readingOrder="2"/>
    </xf>
    <xf numFmtId="169" fontId="19" fillId="0" borderId="2" xfId="2" applyNumberFormat="1" applyFont="1" applyBorder="1" applyAlignment="1">
      <alignment horizontal="center" vertical="center" readingOrder="2"/>
    </xf>
    <xf numFmtId="169" fontId="19" fillId="0" borderId="0" xfId="2" applyNumberFormat="1" applyFont="1" applyAlignment="1">
      <alignment horizontal="center" vertical="center" readingOrder="2"/>
    </xf>
    <xf numFmtId="169" fontId="19" fillId="0" borderId="3" xfId="2" applyNumberFormat="1" applyFont="1" applyBorder="1" applyAlignment="1">
      <alignment horizontal="center" vertical="center" readingOrder="2"/>
    </xf>
    <xf numFmtId="37" fontId="42" fillId="0" borderId="14" xfId="0" applyNumberFormat="1" applyFont="1" applyBorder="1" applyAlignment="1">
      <alignment horizontal="center" vertical="center" wrapText="1"/>
    </xf>
    <xf numFmtId="10" fontId="44" fillId="0" borderId="0" xfId="2" applyNumberFormat="1" applyFont="1" applyAlignment="1">
      <alignment horizontal="center" vertical="center" wrapText="1" shrinkToFit="1"/>
    </xf>
    <xf numFmtId="171" fontId="0" fillId="0" borderId="0" xfId="1" applyNumberFormat="1" applyFont="1" applyFill="1"/>
    <xf numFmtId="170" fontId="0" fillId="0" borderId="0" xfId="1" applyNumberFormat="1" applyFont="1" applyFill="1"/>
    <xf numFmtId="9" fontId="7" fillId="0" borderId="2" xfId="2" applyFont="1" applyFill="1" applyBorder="1" applyAlignment="1">
      <alignment horizontal="center" vertical="center" readingOrder="2"/>
    </xf>
    <xf numFmtId="0" fontId="35" fillId="0" borderId="0" xfId="0" applyFont="1" applyAlignment="1">
      <alignment horizontal="center" vertical="center"/>
    </xf>
    <xf numFmtId="0" fontId="35" fillId="0" borderId="0" xfId="0" applyFont="1"/>
    <xf numFmtId="0" fontId="17" fillId="0" borderId="15" xfId="0" applyFont="1" applyBorder="1" applyAlignment="1">
      <alignment horizontal="center" vertical="center" wrapText="1" readingOrder="2"/>
    </xf>
    <xf numFmtId="0" fontId="60" fillId="0" borderId="15" xfId="0" applyFont="1" applyBorder="1" applyAlignment="1">
      <alignment horizontal="center" vertical="center" wrapText="1" readingOrder="2"/>
    </xf>
    <xf numFmtId="0" fontId="15" fillId="0" borderId="15" xfId="0" applyFont="1" applyBorder="1" applyAlignment="1">
      <alignment horizontal="center" vertical="center" wrapText="1" readingOrder="2"/>
    </xf>
    <xf numFmtId="0" fontId="61" fillId="0" borderId="15" xfId="0" applyFont="1" applyBorder="1" applyAlignment="1">
      <alignment horizontal="center" vertical="center" wrapText="1" readingOrder="2"/>
    </xf>
    <xf numFmtId="0" fontId="62" fillId="0" borderId="15" xfId="0" applyFont="1" applyBorder="1" applyAlignment="1">
      <alignment horizontal="center" vertical="center" wrapText="1" readingOrder="2"/>
    </xf>
    <xf numFmtId="3" fontId="35" fillId="0" borderId="0" xfId="0" applyNumberFormat="1" applyFont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3" fontId="58" fillId="0" borderId="0" xfId="0" applyNumberFormat="1" applyFont="1" applyAlignment="1">
      <alignment vertical="center"/>
    </xf>
    <xf numFmtId="3" fontId="50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3" fontId="36" fillId="0" borderId="0" xfId="0" applyNumberFormat="1" applyFont="1" applyAlignment="1">
      <alignment vertical="center"/>
    </xf>
    <xf numFmtId="9" fontId="22" fillId="0" borderId="0" xfId="2" applyFont="1" applyFill="1" applyAlignment="1">
      <alignment horizontal="center" vertical="center"/>
    </xf>
    <xf numFmtId="0" fontId="19" fillId="0" borderId="0" xfId="0" applyFont="1" applyAlignment="1">
      <alignment vertical="center" wrapText="1"/>
    </xf>
    <xf numFmtId="3" fontId="15" fillId="0" borderId="0" xfId="0" applyNumberFormat="1" applyFont="1" applyAlignment="1">
      <alignment horizontal="right" vertical="center"/>
    </xf>
    <xf numFmtId="164" fontId="16" fillId="0" borderId="0" xfId="1" applyNumberFormat="1" applyFont="1" applyFill="1" applyBorder="1" applyAlignment="1">
      <alignment horizontal="center" vertical="center" wrapText="1"/>
    </xf>
    <xf numFmtId="164" fontId="62" fillId="0" borderId="15" xfId="1" applyNumberFormat="1" applyFont="1" applyBorder="1" applyAlignment="1">
      <alignment horizontal="center" vertical="center" wrapText="1" readingOrder="2"/>
    </xf>
    <xf numFmtId="9" fontId="62" fillId="0" borderId="15" xfId="0" applyNumberFormat="1" applyFont="1" applyBorder="1" applyAlignment="1">
      <alignment horizontal="center" vertical="center" wrapText="1" readingOrder="2"/>
    </xf>
    <xf numFmtId="164" fontId="19" fillId="0" borderId="8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vertical="center"/>
    </xf>
    <xf numFmtId="164" fontId="62" fillId="0" borderId="15" xfId="1" applyNumberFormat="1" applyFont="1" applyFill="1" applyBorder="1" applyAlignment="1">
      <alignment horizontal="center" vertical="center" wrapText="1" readingOrder="2"/>
    </xf>
    <xf numFmtId="0" fontId="35" fillId="2" borderId="18" xfId="0" applyFont="1" applyFill="1" applyBorder="1" applyAlignment="1">
      <alignment horizontal="right" vertical="center" readingOrder="2"/>
    </xf>
    <xf numFmtId="0" fontId="35" fillId="2" borderId="16" xfId="0" applyFont="1" applyFill="1" applyBorder="1" applyAlignment="1">
      <alignment horizontal="right" vertical="center" readingOrder="2"/>
    </xf>
    <xf numFmtId="37" fontId="42" fillId="0" borderId="19" xfId="0" applyNumberFormat="1" applyFont="1" applyBorder="1" applyAlignment="1">
      <alignment horizontal="center" vertical="center"/>
    </xf>
    <xf numFmtId="164" fontId="44" fillId="0" borderId="0" xfId="1" applyNumberFormat="1" applyFont="1" applyAlignment="1">
      <alignment horizontal="center" vertical="center" wrapText="1" shrinkToFit="1"/>
    </xf>
    <xf numFmtId="164" fontId="19" fillId="0" borderId="1" xfId="1" applyNumberFormat="1" applyFont="1" applyFill="1" applyBorder="1" applyAlignment="1">
      <alignment horizontal="right" vertical="center" readingOrder="2"/>
    </xf>
    <xf numFmtId="10" fontId="32" fillId="0" borderId="0" xfId="2" applyNumberFormat="1" applyFont="1" applyAlignment="1">
      <alignment horizontal="center" vertical="center" wrapText="1" shrinkToFit="1"/>
    </xf>
    <xf numFmtId="10" fontId="66" fillId="0" borderId="0" xfId="2" applyNumberFormat="1" applyFont="1" applyAlignment="1">
      <alignment horizontal="center" vertical="center" wrapText="1" shrinkToFit="1"/>
    </xf>
    <xf numFmtId="164" fontId="66" fillId="0" borderId="0" xfId="0" applyNumberFormat="1" applyFont="1" applyAlignment="1">
      <alignment horizontal="center" vertical="center" wrapText="1" shrinkToFit="1"/>
    </xf>
    <xf numFmtId="164" fontId="24" fillId="0" borderId="0" xfId="1" applyNumberFormat="1" applyFont="1" applyFill="1" applyBorder="1" applyAlignment="1">
      <alignment horizontal="center" vertical="center" wrapText="1" readingOrder="2"/>
    </xf>
    <xf numFmtId="164" fontId="38" fillId="0" borderId="0" xfId="1" applyNumberFormat="1" applyFont="1" applyFill="1" applyBorder="1" applyAlignment="1">
      <alignment horizontal="center" vertical="center" wrapText="1" readingOrder="2"/>
    </xf>
    <xf numFmtId="164" fontId="17" fillId="0" borderId="0" xfId="1" applyNumberFormat="1" applyFont="1" applyFill="1" applyBorder="1" applyAlignment="1">
      <alignment horizontal="center" vertical="center" wrapText="1"/>
    </xf>
    <xf numFmtId="164" fontId="17" fillId="0" borderId="0" xfId="1" applyNumberFormat="1" applyFont="1" applyFill="1" applyAlignment="1">
      <alignment vertical="center"/>
    </xf>
    <xf numFmtId="164" fontId="21" fillId="0" borderId="0" xfId="1" applyNumberFormat="1" applyFont="1" applyFill="1" applyBorder="1" applyAlignment="1">
      <alignment horizontal="center" vertical="center" wrapText="1"/>
    </xf>
    <xf numFmtId="164" fontId="21" fillId="0" borderId="0" xfId="1" applyNumberFormat="1" applyFont="1" applyFill="1" applyAlignment="1">
      <alignment horizontal="center" vertical="center" wrapText="1"/>
    </xf>
    <xf numFmtId="169" fontId="62" fillId="0" borderId="15" xfId="0" applyNumberFormat="1" applyFont="1" applyBorder="1" applyAlignment="1">
      <alignment horizontal="center" vertical="center" wrapText="1" readingOrder="2"/>
    </xf>
    <xf numFmtId="0" fontId="68" fillId="0" borderId="0" xfId="0" applyFont="1"/>
    <xf numFmtId="0" fontId="68" fillId="0" borderId="1" xfId="0" applyFont="1" applyBorder="1"/>
    <xf numFmtId="0" fontId="69" fillId="0" borderId="0" xfId="0" applyFont="1" applyAlignment="1">
      <alignment vertical="center" wrapText="1" readingOrder="2"/>
    </xf>
    <xf numFmtId="0" fontId="68" fillId="0" borderId="0" xfId="0" applyFont="1" applyAlignment="1">
      <alignment vertical="center" wrapText="1"/>
    </xf>
    <xf numFmtId="0" fontId="70" fillId="0" borderId="1" xfId="0" applyFont="1" applyBorder="1" applyAlignment="1">
      <alignment vertical="center" wrapText="1" readingOrder="2"/>
    </xf>
    <xf numFmtId="0" fontId="69" fillId="0" borderId="4" xfId="0" applyFont="1" applyBorder="1" applyAlignment="1">
      <alignment horizontal="center" vertical="center" wrapText="1" readingOrder="2"/>
    </xf>
    <xf numFmtId="0" fontId="70" fillId="0" borderId="0" xfId="0" applyFont="1" applyAlignment="1">
      <alignment horizontal="right" vertical="center" wrapText="1" readingOrder="2"/>
    </xf>
    <xf numFmtId="0" fontId="70" fillId="0" borderId="8" xfId="0" applyFont="1" applyBorder="1" applyAlignment="1">
      <alignment horizontal="center" vertical="center" wrapText="1" readingOrder="2"/>
    </xf>
    <xf numFmtId="43" fontId="70" fillId="0" borderId="8" xfId="0" applyNumberFormat="1" applyFont="1" applyBorder="1" applyAlignment="1">
      <alignment horizontal="center" vertical="center" wrapText="1" readingOrder="2"/>
    </xf>
    <xf numFmtId="164" fontId="28" fillId="0" borderId="8" xfId="1" applyNumberFormat="1" applyFont="1" applyFill="1" applyBorder="1" applyAlignment="1">
      <alignment vertical="center"/>
    </xf>
    <xf numFmtId="164" fontId="27" fillId="0" borderId="0" xfId="1" applyNumberFormat="1" applyFont="1" applyFill="1" applyBorder="1" applyAlignment="1">
      <alignment vertical="center" wrapText="1" readingOrder="2"/>
    </xf>
    <xf numFmtId="164" fontId="22" fillId="0" borderId="0" xfId="1" applyNumberFormat="1" applyFont="1" applyFill="1" applyBorder="1" applyAlignment="1">
      <alignment horizontal="center" vertical="center"/>
    </xf>
    <xf numFmtId="164" fontId="71" fillId="0" borderId="0" xfId="1" applyNumberFormat="1" applyFont="1"/>
    <xf numFmtId="164" fontId="61" fillId="0" borderId="0" xfId="1" applyNumberFormat="1" applyFont="1" applyFill="1"/>
    <xf numFmtId="164" fontId="74" fillId="0" borderId="0" xfId="1" applyNumberFormat="1" applyFont="1" applyFill="1" applyBorder="1" applyAlignment="1">
      <alignment horizontal="center" vertical="center" wrapText="1" readingOrder="2"/>
    </xf>
    <xf numFmtId="164" fontId="61" fillId="0" borderId="0" xfId="1" applyNumberFormat="1" applyFont="1" applyFill="1" applyBorder="1" applyAlignment="1">
      <alignment horizontal="center" vertical="center" wrapText="1"/>
    </xf>
    <xf numFmtId="164" fontId="61" fillId="0" borderId="0" xfId="1" applyNumberFormat="1" applyFont="1" applyFill="1" applyAlignment="1">
      <alignment vertical="center"/>
    </xf>
    <xf numFmtId="165" fontId="24" fillId="0" borderId="3" xfId="1" applyNumberFormat="1" applyFont="1" applyBorder="1" applyAlignment="1">
      <alignment horizontal="center" vertical="center" wrapText="1" readingOrder="2"/>
    </xf>
    <xf numFmtId="0" fontId="75" fillId="0" borderId="0" xfId="0" applyFont="1"/>
    <xf numFmtId="164" fontId="19" fillId="0" borderId="0" xfId="1" applyNumberFormat="1" applyFont="1" applyFill="1" applyBorder="1" applyAlignment="1">
      <alignment horizontal="left" vertical="center"/>
    </xf>
    <xf numFmtId="37" fontId="37" fillId="0" borderId="0" xfId="0" applyNumberFormat="1" applyFont="1" applyAlignment="1">
      <alignment horizontal="center" vertical="center"/>
    </xf>
    <xf numFmtId="165" fontId="24" fillId="0" borderId="3" xfId="0" applyNumberFormat="1" applyFont="1" applyBorder="1" applyAlignment="1">
      <alignment horizontal="center" vertical="center" wrapText="1" readingOrder="2"/>
    </xf>
    <xf numFmtId="38" fontId="19" fillId="2" borderId="17" xfId="1" applyNumberFormat="1" applyFont="1" applyFill="1" applyBorder="1" applyAlignment="1">
      <alignment horizontal="right" vertical="center" readingOrder="2"/>
    </xf>
    <xf numFmtId="164" fontId="13" fillId="0" borderId="8" xfId="1" applyNumberFormat="1" applyFont="1" applyFill="1" applyBorder="1" applyAlignment="1">
      <alignment horizontal="center" vertical="center"/>
    </xf>
    <xf numFmtId="164" fontId="19" fillId="0" borderId="0" xfId="1" applyNumberFormat="1" applyFont="1" applyFill="1" applyAlignment="1">
      <alignment vertical="center"/>
    </xf>
    <xf numFmtId="164" fontId="13" fillId="0" borderId="8" xfId="1" applyNumberFormat="1" applyFont="1" applyFill="1" applyBorder="1" applyAlignment="1">
      <alignment vertical="center"/>
    </xf>
    <xf numFmtId="164" fontId="21" fillId="0" borderId="0" xfId="1" applyNumberFormat="1" applyFont="1" applyFill="1" applyBorder="1" applyAlignment="1">
      <alignment horizontal="center" vertical="center" readingOrder="2"/>
    </xf>
    <xf numFmtId="0" fontId="7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10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readingOrder="2"/>
    </xf>
    <xf numFmtId="0" fontId="10" fillId="0" borderId="1" xfId="0" applyFont="1" applyBorder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164" fontId="7" fillId="0" borderId="0" xfId="0" applyNumberFormat="1" applyFont="1" applyAlignment="1">
      <alignment horizontal="center" vertical="center" readingOrder="2"/>
    </xf>
    <xf numFmtId="164" fontId="7" fillId="0" borderId="2" xfId="0" applyNumberFormat="1" applyFont="1" applyBorder="1" applyAlignment="1">
      <alignment horizontal="center" vertical="center" readingOrder="2"/>
    </xf>
    <xf numFmtId="164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3" fontId="72" fillId="0" borderId="0" xfId="0" applyNumberFormat="1" applyFont="1"/>
    <xf numFmtId="0" fontId="17" fillId="0" borderId="0" xfId="0" applyFont="1"/>
    <xf numFmtId="0" fontId="21" fillId="0" borderId="1" xfId="0" applyFont="1" applyBorder="1"/>
    <xf numFmtId="0" fontId="19" fillId="0" borderId="0" xfId="0" applyFont="1" applyAlignment="1">
      <alignment horizontal="center" vertical="center" wrapText="1" readingOrder="2"/>
    </xf>
    <xf numFmtId="0" fontId="19" fillId="0" borderId="0" xfId="0" applyFont="1" applyAlignment="1">
      <alignment vertical="center" wrapText="1" readingOrder="2"/>
    </xf>
    <xf numFmtId="0" fontId="54" fillId="0" borderId="0" xfId="0" applyFont="1"/>
    <xf numFmtId="0" fontId="53" fillId="0" borderId="1" xfId="0" applyFont="1" applyBorder="1" applyAlignment="1">
      <alignment horizontal="center" vertical="center" wrapText="1" readingOrder="2"/>
    </xf>
    <xf numFmtId="0" fontId="53" fillId="0" borderId="1" xfId="0" applyFont="1" applyBorder="1" applyAlignment="1">
      <alignment vertical="center" wrapText="1" readingOrder="2"/>
    </xf>
    <xf numFmtId="0" fontId="21" fillId="0" borderId="0" xfId="0" applyFont="1" applyAlignment="1">
      <alignment vertical="center" wrapText="1" readingOrder="2"/>
    </xf>
    <xf numFmtId="37" fontId="14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164" fontId="21" fillId="0" borderId="2" xfId="1" applyNumberFormat="1" applyFont="1" applyFill="1" applyBorder="1" applyAlignment="1">
      <alignment horizontal="center" vertical="center" readingOrder="2"/>
    </xf>
    <xf numFmtId="10" fontId="21" fillId="0" borderId="2" xfId="1" applyNumberFormat="1" applyFont="1" applyFill="1" applyBorder="1" applyAlignment="1">
      <alignment horizontal="center" vertical="center" readingOrder="2"/>
    </xf>
    <xf numFmtId="3" fontId="17" fillId="0" borderId="0" xfId="0" applyNumberFormat="1" applyFont="1"/>
    <xf numFmtId="164" fontId="17" fillId="0" borderId="0" xfId="0" applyNumberFormat="1" applyFont="1"/>
    <xf numFmtId="0" fontId="29" fillId="0" borderId="1" xfId="0" applyFont="1" applyBorder="1" applyAlignment="1">
      <alignment vertical="center" wrapText="1" readingOrder="2"/>
    </xf>
    <xf numFmtId="164" fontId="11" fillId="0" borderId="0" xfId="0" applyNumberFormat="1" applyFont="1"/>
    <xf numFmtId="0" fontId="23" fillId="0" borderId="0" xfId="0" applyFont="1" applyAlignment="1">
      <alignment horizontal="right" vertical="center" wrapText="1" readingOrder="2"/>
    </xf>
    <xf numFmtId="0" fontId="11" fillId="0" borderId="0" xfId="0" applyFont="1" applyAlignment="1">
      <alignment vertical="center" wrapText="1"/>
    </xf>
    <xf numFmtId="0" fontId="29" fillId="0" borderId="14" xfId="0" applyFont="1" applyBorder="1" applyAlignment="1">
      <alignment horizontal="center" vertical="center" wrapText="1" readingOrder="2"/>
    </xf>
    <xf numFmtId="37" fontId="32" fillId="0" borderId="0" xfId="0" applyNumberFormat="1" applyFont="1" applyAlignment="1">
      <alignment horizontal="center" vertical="center" wrapText="1"/>
    </xf>
    <xf numFmtId="1" fontId="14" fillId="0" borderId="0" xfId="0" applyNumberFormat="1" applyFont="1" applyAlignment="1">
      <alignment horizontal="right" vertical="center"/>
    </xf>
    <xf numFmtId="10" fontId="14" fillId="0" borderId="0" xfId="0" applyNumberFormat="1" applyFont="1" applyAlignment="1">
      <alignment horizontal="center" vertical="center"/>
    </xf>
    <xf numFmtId="3" fontId="11" fillId="0" borderId="0" xfId="0" applyNumberFormat="1" applyFont="1"/>
    <xf numFmtId="49" fontId="14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center" vertical="center" wrapText="1" readingOrder="2"/>
    </xf>
    <xf numFmtId="164" fontId="13" fillId="0" borderId="2" xfId="1" applyNumberFormat="1" applyFont="1" applyFill="1" applyBorder="1" applyAlignment="1">
      <alignment vertical="center"/>
    </xf>
    <xf numFmtId="9" fontId="38" fillId="0" borderId="2" xfId="2" applyFont="1" applyFill="1" applyBorder="1" applyAlignment="1">
      <alignment horizontal="center" vertical="center" wrapText="1" readingOrder="2"/>
    </xf>
    <xf numFmtId="169" fontId="11" fillId="0" borderId="0" xfId="2" applyNumberFormat="1" applyFont="1" applyFill="1"/>
    <xf numFmtId="169" fontId="21" fillId="0" borderId="0" xfId="2" applyNumberFormat="1" applyFont="1" applyFill="1"/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6" fillId="0" borderId="4" xfId="0" applyFont="1" applyBorder="1" applyAlignment="1">
      <alignment horizontal="center" vertical="center" wrapText="1"/>
    </xf>
    <xf numFmtId="37" fontId="14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7" fontId="27" fillId="0" borderId="0" xfId="0" applyNumberFormat="1" applyFont="1" applyAlignment="1">
      <alignment horizontal="center" vertical="center"/>
    </xf>
    <xf numFmtId="9" fontId="11" fillId="0" borderId="0" xfId="2" applyFont="1" applyFill="1"/>
    <xf numFmtId="169" fontId="21" fillId="0" borderId="0" xfId="0" applyNumberFormat="1" applyFont="1"/>
    <xf numFmtId="9" fontId="21" fillId="0" borderId="0" xfId="0" applyNumberFormat="1" applyFont="1"/>
    <xf numFmtId="37" fontId="28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37" fontId="64" fillId="0" borderId="0" xfId="0" applyNumberFormat="1" applyFont="1" applyAlignment="1">
      <alignment horizontal="center" vertical="center"/>
    </xf>
    <xf numFmtId="0" fontId="22" fillId="0" borderId="0" xfId="0" applyFont="1"/>
    <xf numFmtId="164" fontId="22" fillId="0" borderId="8" xfId="1" applyNumberFormat="1" applyFont="1" applyFill="1" applyBorder="1" applyAlignment="1">
      <alignment vertical="center"/>
    </xf>
    <xf numFmtId="164" fontId="22" fillId="0" borderId="0" xfId="1" applyNumberFormat="1" applyFont="1" applyFill="1" applyAlignment="1">
      <alignment vertical="center"/>
    </xf>
    <xf numFmtId="0" fontId="73" fillId="0" borderId="0" xfId="0" applyFont="1" applyAlignment="1">
      <alignment horizontal="center"/>
    </xf>
    <xf numFmtId="37" fontId="67" fillId="0" borderId="0" xfId="0" applyNumberFormat="1" applyFont="1" applyAlignment="1">
      <alignment horizontal="center" vertical="center" wrapText="1"/>
    </xf>
    <xf numFmtId="9" fontId="61" fillId="0" borderId="0" xfId="0" applyNumberFormat="1" applyFont="1"/>
    <xf numFmtId="164" fontId="73" fillId="0" borderId="0" xfId="0" applyNumberFormat="1" applyFont="1"/>
    <xf numFmtId="164" fontId="73" fillId="0" borderId="0" xfId="1" applyNumberFormat="1" applyFont="1" applyFill="1"/>
    <xf numFmtId="169" fontId="11" fillId="0" borderId="0" xfId="0" applyNumberFormat="1" applyFont="1"/>
    <xf numFmtId="169" fontId="61" fillId="0" borderId="0" xfId="2" applyNumberFormat="1" applyFont="1" applyFill="1"/>
    <xf numFmtId="9" fontId="11" fillId="0" borderId="0" xfId="0" applyNumberFormat="1" applyFont="1"/>
    <xf numFmtId="164" fontId="21" fillId="0" borderId="8" xfId="1" applyNumberFormat="1" applyFont="1" applyFill="1" applyBorder="1" applyAlignment="1">
      <alignment vertical="center"/>
    </xf>
    <xf numFmtId="164" fontId="17" fillId="0" borderId="0" xfId="1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22" fillId="0" borderId="8" xfId="1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4" fontId="7" fillId="0" borderId="0" xfId="1" applyNumberFormat="1" applyFont="1" applyBorder="1" applyAlignment="1">
      <alignment horizontal="center" vertical="center" wrapText="1" readingOrder="2"/>
    </xf>
    <xf numFmtId="164" fontId="7" fillId="0" borderId="0" xfId="1" applyNumberFormat="1" applyFont="1" applyAlignment="1">
      <alignment horizontal="center" vertical="center" wrapText="1" readingOrder="2"/>
    </xf>
    <xf numFmtId="164" fontId="7" fillId="0" borderId="3" xfId="1" applyNumberFormat="1" applyFont="1" applyBorder="1" applyAlignment="1">
      <alignment horizontal="center" vertical="center" wrapText="1" readingOrder="2"/>
    </xf>
    <xf numFmtId="164" fontId="7" fillId="0" borderId="1" xfId="1" applyNumberFormat="1" applyFont="1" applyBorder="1" applyAlignment="1">
      <alignment horizontal="center" vertical="center" wrapText="1" readingOrder="2"/>
    </xf>
    <xf numFmtId="10" fontId="7" fillId="0" borderId="3" xfId="2" applyNumberFormat="1" applyFont="1" applyBorder="1" applyAlignment="1">
      <alignment horizontal="center" vertical="center" wrapText="1" readingOrder="2"/>
    </xf>
    <xf numFmtId="10" fontId="7" fillId="0" borderId="1" xfId="2" applyNumberFormat="1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164" fontId="7" fillId="0" borderId="0" xfId="1" applyNumberFormat="1" applyFont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 readingOrder="2"/>
    </xf>
    <xf numFmtId="164" fontId="7" fillId="0" borderId="1" xfId="1" applyNumberFormat="1" applyFont="1" applyBorder="1" applyAlignment="1">
      <alignment horizontal="center" vertical="center" readingOrder="2"/>
    </xf>
    <xf numFmtId="164" fontId="7" fillId="0" borderId="0" xfId="1" applyNumberFormat="1" applyFont="1" applyBorder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164" fontId="7" fillId="0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7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37" fontId="42" fillId="0" borderId="0" xfId="0" applyNumberFormat="1" applyFont="1" applyAlignment="1">
      <alignment horizontal="right" vertical="center"/>
    </xf>
    <xf numFmtId="0" fontId="43" fillId="0" borderId="0" xfId="0" applyFont="1"/>
    <xf numFmtId="0" fontId="53" fillId="0" borderId="1" xfId="0" applyFont="1" applyBorder="1" applyAlignment="1">
      <alignment horizontal="center"/>
    </xf>
    <xf numFmtId="0" fontId="56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readingOrder="2"/>
    </xf>
    <xf numFmtId="0" fontId="21" fillId="0" borderId="3" xfId="0" applyFont="1" applyBorder="1" applyAlignment="1">
      <alignment horizontal="center" vertical="center" readingOrder="2"/>
    </xf>
    <xf numFmtId="0" fontId="21" fillId="0" borderId="1" xfId="0" applyFont="1" applyBorder="1" applyAlignment="1">
      <alignment horizontal="center" vertical="center" readingOrder="2"/>
    </xf>
    <xf numFmtId="0" fontId="21" fillId="0" borderId="0" xfId="0" applyFont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 wrapText="1" readingOrder="2"/>
    </xf>
    <xf numFmtId="164" fontId="21" fillId="0" borderId="0" xfId="1" applyNumberFormat="1" applyFont="1" applyFill="1" applyBorder="1" applyAlignment="1">
      <alignment horizontal="center" vertical="center" readingOrder="2"/>
    </xf>
    <xf numFmtId="164" fontId="21" fillId="0" borderId="1" xfId="1" applyNumberFormat="1" applyFont="1" applyFill="1" applyBorder="1" applyAlignment="1">
      <alignment horizontal="center" vertical="center" readingOrder="2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 readingOrder="2"/>
    </xf>
    <xf numFmtId="0" fontId="19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16" fillId="0" borderId="3" xfId="1" applyNumberFormat="1" applyFont="1" applyBorder="1" applyAlignment="1">
      <alignment horizontal="center" vertical="center" wrapText="1"/>
    </xf>
    <xf numFmtId="165" fontId="16" fillId="0" borderId="0" xfId="1" applyNumberFormat="1" applyFont="1" applyBorder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164" fontId="16" fillId="0" borderId="3" xfId="1" applyNumberFormat="1" applyFont="1" applyBorder="1" applyAlignment="1">
      <alignment horizontal="center" vertical="center" wrapText="1"/>
    </xf>
    <xf numFmtId="164" fontId="16" fillId="0" borderId="0" xfId="1" applyNumberFormat="1" applyFont="1" applyBorder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69" fillId="0" borderId="3" xfId="0" applyFont="1" applyBorder="1" applyAlignment="1">
      <alignment horizontal="center" vertical="center" wrapText="1" readingOrder="2"/>
    </xf>
    <xf numFmtId="0" fontId="69" fillId="0" borderId="0" xfId="0" applyFont="1" applyAlignment="1">
      <alignment horizontal="center" vertical="center" wrapText="1" readingOrder="2"/>
    </xf>
    <xf numFmtId="0" fontId="68" fillId="0" borderId="3" xfId="0" applyFont="1" applyBorder="1" applyAlignment="1">
      <alignment vertical="center" wrapText="1"/>
    </xf>
    <xf numFmtId="0" fontId="68" fillId="0" borderId="0" xfId="0" applyFont="1" applyAlignment="1">
      <alignment vertical="center" wrapText="1"/>
    </xf>
    <xf numFmtId="0" fontId="69" fillId="0" borderId="1" xfId="0" applyFont="1" applyBorder="1" applyAlignment="1">
      <alignment horizontal="center" vertical="center" wrapText="1" readingOrder="2"/>
    </xf>
    <xf numFmtId="0" fontId="68" fillId="0" borderId="0" xfId="0" applyFont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59" fillId="0" borderId="0" xfId="0" applyFont="1" applyAlignment="1">
      <alignment horizontal="right" vertical="center" readingOrder="2"/>
    </xf>
    <xf numFmtId="0" fontId="21" fillId="0" borderId="3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 wrapText="1" readingOrder="2"/>
    </xf>
    <xf numFmtId="0" fontId="61" fillId="0" borderId="15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right" vertical="center" readingOrder="2"/>
    </xf>
    <xf numFmtId="0" fontId="29" fillId="0" borderId="4" xfId="0" applyFont="1" applyBorder="1" applyAlignment="1">
      <alignment horizontal="center" vertical="center" wrapText="1" readingOrder="2"/>
    </xf>
    <xf numFmtId="164" fontId="19" fillId="0" borderId="4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6" fillId="0" borderId="1" xfId="0" applyFont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0" fontId="65" fillId="0" borderId="0" xfId="0" applyFont="1" applyAlignment="1">
      <alignment horizontal="right" vertical="center" readingOrder="2"/>
    </xf>
    <xf numFmtId="37" fontId="28" fillId="0" borderId="11" xfId="0" applyNumberFormat="1" applyFont="1" applyBorder="1" applyAlignment="1">
      <alignment horizontal="center" vertical="center"/>
    </xf>
    <xf numFmtId="0" fontId="15" fillId="0" borderId="12" xfId="0" applyFont="1" applyBorder="1"/>
    <xf numFmtId="0" fontId="26" fillId="0" borderId="0" xfId="0" applyFont="1" applyAlignment="1">
      <alignment horizontal="right" vertical="center" readingOrder="2"/>
    </xf>
    <xf numFmtId="165" fontId="26" fillId="0" borderId="0" xfId="1" applyNumberFormat="1" applyFont="1" applyAlignment="1">
      <alignment horizontal="right" vertical="center" readingOrder="2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165" fontId="26" fillId="0" borderId="0" xfId="1" applyNumberFormat="1" applyFont="1" applyFill="1" applyAlignment="1">
      <alignment horizontal="right" vertical="center" readingOrder="2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center" vertical="center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2597</xdr:colOff>
      <xdr:row>36</xdr:row>
      <xdr:rowOff>25977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60B9D7-FE22-1BC7-3CFF-70D52691A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4443425" y="0"/>
          <a:ext cx="5847484" cy="73862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  <pageSetUpPr fitToPage="1"/>
  </sheetPr>
  <dimension ref="A18:M31"/>
  <sheetViews>
    <sheetView rightToLeft="1" view="pageBreakPreview" zoomScale="55" zoomScaleNormal="100" zoomScaleSheetLayoutView="55" workbookViewId="0">
      <selection activeCell="E15" sqref="E15"/>
    </sheetView>
  </sheetViews>
  <sheetFormatPr defaultColWidth="9.1328125" defaultRowHeight="13.5"/>
  <cols>
    <col min="1" max="16384" width="9.1328125" style="7"/>
  </cols>
  <sheetData>
    <row r="18" spans="1:13">
      <c r="M18" s="7" t="s">
        <v>52</v>
      </c>
    </row>
    <row r="24" spans="1:13" ht="15" customHeight="1">
      <c r="A24" s="318" t="s">
        <v>66</v>
      </c>
      <c r="B24" s="318"/>
      <c r="C24" s="318"/>
      <c r="D24" s="318"/>
      <c r="E24" s="318"/>
      <c r="F24" s="318"/>
      <c r="G24" s="318"/>
      <c r="H24" s="318"/>
      <c r="I24" s="318"/>
      <c r="J24" s="318"/>
      <c r="K24" s="18"/>
      <c r="L24" s="18"/>
    </row>
    <row r="25" spans="1:13" ht="15" customHeight="1">
      <c r="A25" s="318"/>
      <c r="B25" s="318"/>
      <c r="C25" s="318"/>
      <c r="D25" s="318"/>
      <c r="E25" s="318"/>
      <c r="F25" s="318"/>
      <c r="G25" s="318"/>
      <c r="H25" s="318"/>
      <c r="I25" s="318"/>
      <c r="J25" s="318"/>
      <c r="K25" s="18"/>
      <c r="L25" s="18"/>
    </row>
    <row r="26" spans="1:13" ht="15" customHeight="1">
      <c r="A26" s="318"/>
      <c r="B26" s="318"/>
      <c r="C26" s="318"/>
      <c r="D26" s="318"/>
      <c r="E26" s="318"/>
      <c r="F26" s="318"/>
      <c r="G26" s="318"/>
      <c r="H26" s="318"/>
      <c r="I26" s="318"/>
      <c r="J26" s="318"/>
      <c r="K26" s="18"/>
      <c r="L26" s="18"/>
    </row>
    <row r="28" spans="1:13" ht="15" customHeight="1">
      <c r="A28" s="318" t="s">
        <v>206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</row>
    <row r="29" spans="1:13" ht="15" customHeight="1">
      <c r="A29" s="318"/>
      <c r="B29" s="318"/>
      <c r="C29" s="318"/>
      <c r="D29" s="318"/>
      <c r="E29" s="318"/>
      <c r="F29" s="318"/>
      <c r="G29" s="318"/>
      <c r="H29" s="318"/>
      <c r="I29" s="318"/>
      <c r="J29" s="318"/>
      <c r="K29" s="318"/>
      <c r="L29" s="318"/>
    </row>
    <row r="30" spans="1:13" ht="15" customHeight="1">
      <c r="A30" s="318"/>
      <c r="B30" s="318"/>
      <c r="C30" s="318"/>
      <c r="D30" s="318"/>
      <c r="E30" s="318"/>
      <c r="F30" s="318"/>
      <c r="G30" s="318"/>
      <c r="H30" s="318"/>
      <c r="I30" s="318"/>
      <c r="J30" s="318"/>
      <c r="K30" s="318"/>
      <c r="L30" s="318"/>
    </row>
    <row r="31" spans="1:13" ht="15" customHeight="1">
      <c r="A31" s="318"/>
      <c r="B31" s="318"/>
      <c r="C31" s="318"/>
      <c r="D31" s="318"/>
      <c r="E31" s="318"/>
      <c r="F31" s="318"/>
      <c r="G31" s="318"/>
      <c r="H31" s="318"/>
      <c r="I31" s="318"/>
      <c r="J31" s="318"/>
      <c r="K31" s="318"/>
      <c r="L31" s="318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0A9D6-4C85-4EAC-8EB0-A20717998716}">
  <dimension ref="A1:AH61"/>
  <sheetViews>
    <sheetView rightToLeft="1" view="pageBreakPreview" zoomScale="60" zoomScaleNormal="100" workbookViewId="0">
      <selection activeCell="K57" sqref="K57"/>
    </sheetView>
  </sheetViews>
  <sheetFormatPr defaultRowHeight="14.25"/>
  <cols>
    <col min="1" max="1" width="17.73046875" bestFit="1" customWidth="1"/>
    <col min="2" max="2" width="18.265625" bestFit="1" customWidth="1"/>
    <col min="3" max="3" width="7.59765625" bestFit="1" customWidth="1"/>
    <col min="4" max="4" width="5.86328125" bestFit="1" customWidth="1"/>
    <col min="5" max="5" width="11" bestFit="1" customWidth="1"/>
    <col min="6" max="6" width="16.265625" bestFit="1" customWidth="1"/>
    <col min="7" max="7" width="5.3984375" bestFit="1" customWidth="1"/>
    <col min="8" max="8" width="16.86328125" bestFit="1" customWidth="1"/>
  </cols>
  <sheetData>
    <row r="1" spans="1:17" ht="15.4">
      <c r="A1" s="398" t="s">
        <v>125</v>
      </c>
      <c r="B1" s="398"/>
      <c r="C1" s="398"/>
      <c r="D1" s="398"/>
      <c r="E1" s="398"/>
      <c r="F1" s="398"/>
      <c r="G1" s="398"/>
      <c r="H1" s="398"/>
      <c r="I1" s="166"/>
      <c r="J1" s="166"/>
      <c r="K1" s="166"/>
      <c r="L1" s="166"/>
      <c r="M1" s="166"/>
      <c r="N1" s="166"/>
      <c r="O1" s="166"/>
      <c r="P1" s="166"/>
      <c r="Q1" s="166"/>
    </row>
    <row r="2" spans="1:17" ht="15.4">
      <c r="A2" s="398" t="s">
        <v>50</v>
      </c>
      <c r="B2" s="398"/>
      <c r="C2" s="398"/>
      <c r="D2" s="398"/>
      <c r="E2" s="398"/>
      <c r="F2" s="398"/>
      <c r="G2" s="398"/>
      <c r="H2" s="398"/>
      <c r="I2" s="166"/>
      <c r="J2" s="166"/>
      <c r="K2" s="166"/>
      <c r="L2" s="166"/>
      <c r="M2" s="166"/>
      <c r="N2" s="166"/>
      <c r="O2" s="166"/>
      <c r="P2" s="166"/>
      <c r="Q2" s="166"/>
    </row>
    <row r="3" spans="1:17" ht="15.4">
      <c r="A3" s="398" t="s">
        <v>126</v>
      </c>
      <c r="B3" s="398"/>
      <c r="C3" s="398"/>
      <c r="D3" s="398"/>
      <c r="E3" s="398"/>
      <c r="F3" s="398"/>
      <c r="G3" s="398"/>
      <c r="H3" s="398"/>
      <c r="I3" s="166"/>
      <c r="J3" s="166"/>
      <c r="K3" s="166"/>
      <c r="L3" s="166"/>
      <c r="M3" s="166"/>
      <c r="N3" s="166"/>
      <c r="O3" s="166"/>
      <c r="P3" s="166"/>
      <c r="Q3" s="166"/>
    </row>
    <row r="5" spans="1:17" ht="15">
      <c r="A5" s="391" t="s">
        <v>127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</row>
    <row r="7" spans="1:17" ht="25.5">
      <c r="A7" s="167" t="s">
        <v>128</v>
      </c>
      <c r="B7" s="167" t="s">
        <v>129</v>
      </c>
      <c r="C7" s="167" t="s">
        <v>130</v>
      </c>
      <c r="D7" s="167" t="s">
        <v>131</v>
      </c>
      <c r="E7" s="167" t="s">
        <v>132</v>
      </c>
      <c r="F7" s="168" t="s">
        <v>133</v>
      </c>
      <c r="G7" s="167" t="s">
        <v>134</v>
      </c>
      <c r="H7" s="168" t="s">
        <v>135</v>
      </c>
    </row>
    <row r="8" spans="1:17">
      <c r="A8" s="399" t="s">
        <v>136</v>
      </c>
      <c r="B8" s="400" t="s">
        <v>137</v>
      </c>
      <c r="C8" s="169" t="s">
        <v>138</v>
      </c>
      <c r="D8" s="169"/>
      <c r="E8" s="169"/>
      <c r="F8" s="169"/>
      <c r="G8" s="169"/>
      <c r="H8" s="169"/>
    </row>
    <row r="9" spans="1:17">
      <c r="A9" s="399"/>
      <c r="B9" s="400"/>
      <c r="C9" s="169" t="s">
        <v>139</v>
      </c>
      <c r="D9" s="169"/>
      <c r="E9" s="169"/>
      <c r="F9" s="169"/>
      <c r="G9" s="169"/>
      <c r="H9" s="169"/>
    </row>
    <row r="10" spans="1:17">
      <c r="A10" s="399" t="s">
        <v>136</v>
      </c>
      <c r="B10" s="400" t="s">
        <v>140</v>
      </c>
      <c r="C10" s="169" t="s">
        <v>138</v>
      </c>
      <c r="D10" s="169"/>
      <c r="E10" s="169"/>
      <c r="F10" s="169"/>
      <c r="G10" s="169"/>
      <c r="H10" s="169"/>
    </row>
    <row r="11" spans="1:17">
      <c r="A11" s="399"/>
      <c r="B11" s="400"/>
      <c r="C11" s="169" t="s">
        <v>141</v>
      </c>
      <c r="D11" s="169"/>
      <c r="E11" s="169"/>
      <c r="F11" s="169"/>
      <c r="G11" s="169"/>
      <c r="H11" s="169"/>
    </row>
    <row r="12" spans="1:17" ht="46.5">
      <c r="A12" s="171" t="s">
        <v>142</v>
      </c>
      <c r="B12" s="170" t="s">
        <v>143</v>
      </c>
      <c r="C12" s="169" t="s">
        <v>144</v>
      </c>
      <c r="D12" s="169"/>
      <c r="E12" s="169"/>
      <c r="F12" s="169"/>
      <c r="G12" s="169"/>
      <c r="H12" s="169"/>
    </row>
    <row r="13" spans="1:17">
      <c r="A13" s="399" t="s">
        <v>145</v>
      </c>
      <c r="B13" s="399" t="s">
        <v>145</v>
      </c>
      <c r="C13" s="169" t="s">
        <v>146</v>
      </c>
      <c r="D13" s="169"/>
      <c r="E13" s="169"/>
      <c r="F13" s="169"/>
      <c r="G13" s="169"/>
      <c r="H13" s="169"/>
    </row>
    <row r="14" spans="1:17">
      <c r="A14" s="399"/>
      <c r="B14" s="399"/>
      <c r="C14" s="169" t="s">
        <v>147</v>
      </c>
      <c r="D14" s="169"/>
      <c r="E14" s="169"/>
      <c r="F14" s="169"/>
      <c r="G14" s="169"/>
      <c r="H14" s="169"/>
    </row>
    <row r="15" spans="1:17">
      <c r="A15" s="399"/>
      <c r="B15" s="399"/>
      <c r="C15" s="169" t="s">
        <v>148</v>
      </c>
      <c r="D15" s="169"/>
      <c r="E15" s="169"/>
      <c r="F15" s="169"/>
      <c r="G15" s="169"/>
      <c r="H15" s="169"/>
    </row>
    <row r="16" spans="1:17">
      <c r="A16" s="399"/>
      <c r="B16" s="399"/>
      <c r="C16" s="169" t="s">
        <v>149</v>
      </c>
      <c r="D16" s="169"/>
      <c r="E16" s="169"/>
      <c r="F16" s="169"/>
      <c r="G16" s="169"/>
      <c r="H16" s="169"/>
    </row>
    <row r="18" spans="1:6">
      <c r="A18" s="401" t="s">
        <v>150</v>
      </c>
      <c r="B18" s="401"/>
      <c r="C18" s="401"/>
      <c r="D18" s="401"/>
      <c r="E18" s="401"/>
      <c r="F18" s="401"/>
    </row>
    <row r="28" spans="1:6">
      <c r="A28" t="s">
        <v>151</v>
      </c>
    </row>
    <row r="61" spans="34:34">
      <c r="AH61" t="s">
        <v>152</v>
      </c>
    </row>
  </sheetData>
  <mergeCells count="11">
    <mergeCell ref="A10:A11"/>
    <mergeCell ref="B10:B11"/>
    <mergeCell ref="A13:A16"/>
    <mergeCell ref="B13:B16"/>
    <mergeCell ref="A18:F18"/>
    <mergeCell ref="A1:H1"/>
    <mergeCell ref="A2:H2"/>
    <mergeCell ref="A3:H3"/>
    <mergeCell ref="A5:Q5"/>
    <mergeCell ref="A8:A9"/>
    <mergeCell ref="B8:B9"/>
  </mergeCells>
  <pageMargins left="0.7" right="0.7" top="0.75" bottom="0.75" header="0.3" footer="0.3"/>
  <pageSetup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 tint="0.79998168889431442"/>
    <pageSetUpPr fitToPage="1"/>
  </sheetPr>
  <dimension ref="A1:N54"/>
  <sheetViews>
    <sheetView rightToLeft="1" view="pageBreakPreview" zoomScale="70" zoomScaleNormal="100" zoomScaleSheetLayoutView="70" workbookViewId="0">
      <selection sqref="A1:XFD1048576"/>
    </sheetView>
  </sheetViews>
  <sheetFormatPr defaultColWidth="9.1328125" defaultRowHeight="17.25"/>
  <cols>
    <col min="1" max="1" width="43" style="99" customWidth="1"/>
    <col min="2" max="2" width="0.73046875" style="99" customWidth="1"/>
    <col min="3" max="3" width="22.86328125" style="99" customWidth="1"/>
    <col min="4" max="4" width="0.73046875" style="99" customWidth="1"/>
    <col min="5" max="5" width="18.3984375" style="68" customWidth="1"/>
    <col min="6" max="6" width="1.3984375" style="68" customWidth="1"/>
    <col min="7" max="7" width="21.73046875" style="68" customWidth="1"/>
    <col min="8" max="8" width="1.3984375" style="68" customWidth="1"/>
    <col min="9" max="9" width="19.59765625" style="68" customWidth="1"/>
    <col min="10" max="10" width="1.265625" style="99" customWidth="1"/>
    <col min="11" max="11" width="22" style="99" customWidth="1"/>
    <col min="12" max="12" width="0.73046875" style="99" customWidth="1"/>
    <col min="13" max="13" width="25.59765625" style="99" customWidth="1"/>
    <col min="14" max="15" width="18" style="99" customWidth="1"/>
    <col min="16" max="16" width="15.265625" style="99" bestFit="1" customWidth="1"/>
    <col min="17" max="16384" width="9.1328125" style="99"/>
  </cols>
  <sheetData>
    <row r="1" spans="1:14" s="111" customFormat="1" ht="15">
      <c r="A1" s="364" t="s">
        <v>80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</row>
    <row r="2" spans="1:14" s="111" customFormat="1" ht="15">
      <c r="A2" s="364" t="s">
        <v>50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</row>
    <row r="3" spans="1:14" s="111" customFormat="1" ht="15">
      <c r="A3" s="364" t="str">
        <f>' سهام'!A3:W3</f>
        <v>برای ماه منتهی به 1403/11/30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</row>
    <row r="4" spans="1:14">
      <c r="A4" s="354" t="s">
        <v>185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</row>
    <row r="5" spans="1:14" ht="17.649999999999999" thickBot="1">
      <c r="A5" s="256"/>
      <c r="B5" s="256"/>
      <c r="C5" s="256"/>
      <c r="D5" s="111"/>
      <c r="E5" s="61"/>
      <c r="F5" s="61"/>
      <c r="G5" s="61"/>
      <c r="H5" s="61"/>
      <c r="I5" s="61"/>
      <c r="J5" s="256"/>
      <c r="K5" s="256"/>
      <c r="L5" s="256"/>
    </row>
    <row r="6" spans="1:14" ht="37.5" customHeight="1" thickBot="1">
      <c r="A6" s="402" t="s">
        <v>18</v>
      </c>
      <c r="B6" s="402"/>
      <c r="C6" s="402"/>
      <c r="D6" s="112"/>
      <c r="E6" s="403" t="s">
        <v>209</v>
      </c>
      <c r="F6" s="403"/>
      <c r="G6" s="403"/>
      <c r="H6" s="403"/>
      <c r="I6" s="402" t="s">
        <v>210</v>
      </c>
      <c r="J6" s="402"/>
      <c r="K6" s="402"/>
      <c r="L6" s="402"/>
    </row>
    <row r="7" spans="1:14" ht="30">
      <c r="A7" s="273" t="s">
        <v>14</v>
      </c>
      <c r="B7" s="112"/>
      <c r="C7" s="273" t="s">
        <v>9</v>
      </c>
      <c r="D7" s="137"/>
      <c r="E7" s="79" t="s">
        <v>15</v>
      </c>
      <c r="F7" s="80"/>
      <c r="G7" s="79" t="s">
        <v>16</v>
      </c>
      <c r="H7" s="81"/>
      <c r="I7" s="79" t="s">
        <v>15</v>
      </c>
      <c r="J7" s="112"/>
      <c r="K7" s="273" t="s">
        <v>16</v>
      </c>
      <c r="L7" s="112"/>
    </row>
    <row r="8" spans="1:14">
      <c r="A8" s="274" t="s">
        <v>99</v>
      </c>
      <c r="B8" s="112"/>
      <c r="C8" s="275" t="s">
        <v>227</v>
      </c>
      <c r="D8" s="137"/>
      <c r="E8" s="64">
        <f>VLOOKUP(A8,'سود سپرده بانکی'!$A$7:$N$51,8,0)</f>
        <v>2432</v>
      </c>
      <c r="F8" s="80"/>
      <c r="G8" s="276">
        <f t="shared" ref="G8:G23" si="0">E8/$E$53</f>
        <v>1.4016668533924753E-7</v>
      </c>
      <c r="H8" s="88"/>
      <c r="I8" s="64">
        <f>VLOOKUP(A8,'سود سپرده بانکی'!$A$7:$N$51,14,0)</f>
        <v>2432</v>
      </c>
      <c r="J8" s="112"/>
      <c r="K8" s="276">
        <f t="shared" ref="K8:K36" si="1">I8/$I$53</f>
        <v>1.4048520330218025E-7</v>
      </c>
      <c r="L8" s="112"/>
    </row>
    <row r="9" spans="1:14">
      <c r="A9" s="274" t="s">
        <v>93</v>
      </c>
      <c r="B9" s="112"/>
      <c r="C9" s="275" t="s">
        <v>228</v>
      </c>
      <c r="D9" s="137"/>
      <c r="E9" s="64">
        <f>VLOOKUP(A9,'سود سپرده بانکی'!$A$7:$N$51,8,0)</f>
        <v>0</v>
      </c>
      <c r="F9" s="80"/>
      <c r="G9" s="276">
        <f t="shared" si="0"/>
        <v>0</v>
      </c>
      <c r="H9" s="88"/>
      <c r="I9" s="64">
        <f>VLOOKUP(A9,'سود سپرده بانکی'!$A$7:$N$51,14,0)</f>
        <v>0</v>
      </c>
      <c r="J9" s="112"/>
      <c r="K9" s="276">
        <f t="shared" si="1"/>
        <v>0</v>
      </c>
      <c r="L9" s="112"/>
    </row>
    <row r="10" spans="1:14">
      <c r="A10" s="274" t="s">
        <v>212</v>
      </c>
      <c r="B10" s="112"/>
      <c r="C10" s="275" t="s">
        <v>229</v>
      </c>
      <c r="D10" s="137"/>
      <c r="E10" s="64">
        <f>VLOOKUP(A10,'سود سپرده بانکی'!$A$7:$N$51,8,0)</f>
        <v>1365210192</v>
      </c>
      <c r="F10" s="80"/>
      <c r="G10" s="276">
        <f t="shared" si="0"/>
        <v>7.8682971794406947E-2</v>
      </c>
      <c r="H10" s="88"/>
      <c r="I10" s="64">
        <f>VLOOKUP(A10,'سود سپرده بانکی'!$A$7:$N$51,14,0)</f>
        <v>1351386036</v>
      </c>
      <c r="J10" s="112"/>
      <c r="K10" s="276">
        <f t="shared" si="1"/>
        <v>7.8063216285850112E-2</v>
      </c>
      <c r="L10" s="112"/>
    </row>
    <row r="11" spans="1:14">
      <c r="A11" s="274" t="s">
        <v>213</v>
      </c>
      <c r="B11" s="7"/>
      <c r="C11" s="275" t="s">
        <v>230</v>
      </c>
      <c r="D11" s="7"/>
      <c r="E11" s="64">
        <f>VLOOKUP(A11,'سود سپرده بانکی'!$A$7:$N$51,8,0)</f>
        <v>1435605692</v>
      </c>
      <c r="F11" s="7"/>
      <c r="G11" s="276">
        <f t="shared" si="0"/>
        <v>8.2740169120804563E-2</v>
      </c>
      <c r="H11" s="7"/>
      <c r="I11" s="64">
        <f>VLOOKUP(A11,'سود سپرده بانکی'!$A$7:$N$51,14,0)</f>
        <v>1423491540</v>
      </c>
      <c r="J11" s="7"/>
      <c r="K11" s="276">
        <f t="shared" si="1"/>
        <v>8.2228412169339488E-2</v>
      </c>
      <c r="L11" s="112"/>
    </row>
    <row r="12" spans="1:14">
      <c r="A12" s="274" t="s">
        <v>214</v>
      </c>
      <c r="B12" s="7"/>
      <c r="C12" s="275" t="s">
        <v>231</v>
      </c>
      <c r="D12" s="7"/>
      <c r="E12" s="64">
        <f>VLOOKUP(A12,'سود سپرده بانکی'!$A$7:$N$51,8,0)</f>
        <v>1304009528</v>
      </c>
      <c r="F12" s="7"/>
      <c r="G12" s="276">
        <f t="shared" si="0"/>
        <v>7.5155712660590748E-2</v>
      </c>
      <c r="H12" s="7"/>
      <c r="I12" s="64">
        <f>VLOOKUP(A12,'سود سپرده بانکی'!$A$7:$N$51,14,0)</f>
        <v>1301830224</v>
      </c>
      <c r="J12" s="7"/>
      <c r="K12" s="276">
        <f t="shared" si="1"/>
        <v>7.5200610067254453E-2</v>
      </c>
      <c r="L12" s="112"/>
    </row>
    <row r="13" spans="1:14">
      <c r="A13" s="274" t="s">
        <v>173</v>
      </c>
      <c r="B13" s="112"/>
      <c r="C13" s="275" t="s">
        <v>177</v>
      </c>
      <c r="D13" s="137"/>
      <c r="E13" s="64">
        <f>VLOOKUP(A13,'سود سپرده بانکی'!$A$7:$N$51,8,0)</f>
        <v>308242190</v>
      </c>
      <c r="F13" s="80"/>
      <c r="G13" s="276">
        <f t="shared" si="0"/>
        <v>1.7765331436681971E-2</v>
      </c>
      <c r="H13" s="88"/>
      <c r="I13" s="64">
        <f>VLOOKUP(A13,'سود سپرده بانکی'!$A$7:$N$51,14,0)</f>
        <v>308048441</v>
      </c>
      <c r="J13" s="112"/>
      <c r="K13" s="276">
        <f t="shared" si="1"/>
        <v>1.7794509811186132E-2</v>
      </c>
      <c r="L13" s="112"/>
      <c r="N13" s="277"/>
    </row>
    <row r="14" spans="1:14">
      <c r="A14" s="274" t="s">
        <v>198</v>
      </c>
      <c r="B14" s="112"/>
      <c r="C14" s="275" t="s">
        <v>232</v>
      </c>
      <c r="D14" s="137"/>
      <c r="E14" s="64">
        <f>VLOOKUP(A14,'سود سپرده بانکی'!$A$7:$N$51,8,0)</f>
        <v>423435821</v>
      </c>
      <c r="F14" s="80"/>
      <c r="G14" s="276">
        <f t="shared" si="0"/>
        <v>2.440443893234907E-2</v>
      </c>
      <c r="H14" s="88"/>
      <c r="I14" s="64">
        <f>VLOOKUP(A14,'سود سپرده بانکی'!$A$7:$N$51,14,0)</f>
        <v>423435821</v>
      </c>
      <c r="J14" s="112"/>
      <c r="K14" s="276">
        <f t="shared" si="1"/>
        <v>2.445989613429712E-2</v>
      </c>
      <c r="L14" s="112"/>
      <c r="N14" s="277"/>
    </row>
    <row r="15" spans="1:14">
      <c r="A15" s="274" t="s">
        <v>96</v>
      </c>
      <c r="B15" s="112"/>
      <c r="C15" s="275" t="s">
        <v>233</v>
      </c>
      <c r="D15" s="137"/>
      <c r="E15" s="64">
        <f>VLOOKUP(A15,'سود سپرده بانکی'!$A$7:$N$51,8,0)</f>
        <v>3650</v>
      </c>
      <c r="F15" s="80"/>
      <c r="G15" s="276">
        <f t="shared" si="0"/>
        <v>2.103652966645779E-7</v>
      </c>
      <c r="H15" s="88"/>
      <c r="I15" s="64">
        <f>VLOOKUP(A15,'سود سپرده بانکی'!$A$7:$N$51,14,0)</f>
        <v>3650</v>
      </c>
      <c r="J15" s="112"/>
      <c r="K15" s="276">
        <f t="shared" si="1"/>
        <v>2.1084333554809123E-7</v>
      </c>
      <c r="L15" s="112"/>
      <c r="N15" s="277"/>
    </row>
    <row r="16" spans="1:14">
      <c r="A16" s="274" t="s">
        <v>101</v>
      </c>
      <c r="B16" s="112"/>
      <c r="C16" s="275" t="s">
        <v>234</v>
      </c>
      <c r="D16" s="137"/>
      <c r="E16" s="64">
        <f>VLOOKUP(A16,'سود سپرده بانکی'!$A$7:$N$51,8,0)</f>
        <v>1428</v>
      </c>
      <c r="F16" s="80"/>
      <c r="G16" s="276">
        <f t="shared" si="0"/>
        <v>8.2301820174525276E-8</v>
      </c>
      <c r="H16" s="88"/>
      <c r="I16" s="64">
        <f>VLOOKUP(A16,'سود سپرده بانکی'!$A$7:$N$51,14,0)</f>
        <v>1428</v>
      </c>
      <c r="J16" s="112"/>
      <c r="K16" s="276">
        <f t="shared" si="1"/>
        <v>8.2488844702102534E-8</v>
      </c>
      <c r="L16" s="112"/>
      <c r="N16" s="277"/>
    </row>
    <row r="17" spans="1:14">
      <c r="A17" s="274" t="s">
        <v>218</v>
      </c>
      <c r="B17" s="112"/>
      <c r="C17" s="275" t="s">
        <v>235</v>
      </c>
      <c r="D17" s="137"/>
      <c r="E17" s="64">
        <f>VLOOKUP(A17,'سود سپرده بانکی'!$A$7:$N$51,8,0)</f>
        <v>355466660</v>
      </c>
      <c r="F17" s="80"/>
      <c r="G17" s="276">
        <f t="shared" si="0"/>
        <v>2.0487082023360727E-2</v>
      </c>
      <c r="H17" s="88"/>
      <c r="I17" s="64">
        <f>VLOOKUP(A17,'سود سپرده بانکی'!$A$7:$N$51,14,0)</f>
        <v>355466660</v>
      </c>
      <c r="J17" s="112"/>
      <c r="K17" s="276">
        <f t="shared" si="1"/>
        <v>2.0533637334394318E-2</v>
      </c>
      <c r="L17" s="112"/>
      <c r="N17" s="277"/>
    </row>
    <row r="18" spans="1:14">
      <c r="A18" s="274" t="s">
        <v>199</v>
      </c>
      <c r="B18" s="112"/>
      <c r="C18" s="278" t="s">
        <v>236</v>
      </c>
      <c r="D18" s="137"/>
      <c r="E18" s="64">
        <f>VLOOKUP(A18,'سود سپرده بانکی'!$A$7:$N$51,8,0)</f>
        <v>412260157</v>
      </c>
      <c r="F18" s="80"/>
      <c r="G18" s="276">
        <f t="shared" si="0"/>
        <v>2.3760337049394648E-2</v>
      </c>
      <c r="H18" s="88"/>
      <c r="I18" s="64">
        <f>VLOOKUP(A18,'سود سپرده بانکی'!$A$7:$N$51,14,0)</f>
        <v>412260157</v>
      </c>
      <c r="J18" s="112"/>
      <c r="K18" s="276">
        <f t="shared" si="1"/>
        <v>2.3814330579578019E-2</v>
      </c>
      <c r="L18" s="112"/>
      <c r="N18" s="277"/>
    </row>
    <row r="19" spans="1:14">
      <c r="A19" s="274" t="s">
        <v>200</v>
      </c>
      <c r="B19" s="112"/>
      <c r="C19" s="278" t="s">
        <v>237</v>
      </c>
      <c r="D19" s="137"/>
      <c r="E19" s="64">
        <f>VLOOKUP(A19,'سود سپرده بانکی'!$A$7:$N$51,8,0)</f>
        <v>568584476</v>
      </c>
      <c r="F19" s="80"/>
      <c r="G19" s="276">
        <f t="shared" si="0"/>
        <v>3.2769984102085911E-2</v>
      </c>
      <c r="H19" s="88"/>
      <c r="I19" s="64">
        <f>VLOOKUP(A19,'سود سپرده بانکی'!$A$7:$N$51,14,0)</f>
        <v>568584476</v>
      </c>
      <c r="J19" s="112"/>
      <c r="K19" s="276">
        <f t="shared" si="1"/>
        <v>3.2844451359096881E-2</v>
      </c>
      <c r="L19" s="112"/>
      <c r="N19" s="277"/>
    </row>
    <row r="20" spans="1:14">
      <c r="A20" s="274" t="s">
        <v>219</v>
      </c>
      <c r="B20" s="112"/>
      <c r="C20" s="278" t="s">
        <v>238</v>
      </c>
      <c r="D20" s="137"/>
      <c r="E20" s="64">
        <f>VLOOKUP(A20,'سود سپرده بانکی'!$A$7:$N$51,8,0)</f>
        <v>65374363</v>
      </c>
      <c r="F20" s="80"/>
      <c r="G20" s="276">
        <f t="shared" si="0"/>
        <v>3.7678074703432346E-3</v>
      </c>
      <c r="H20" s="88"/>
      <c r="I20" s="64">
        <f>VLOOKUP(A20,'سود سپرده بانکی'!$A$7:$N$51,14,0)</f>
        <v>62424457</v>
      </c>
      <c r="J20" s="112"/>
      <c r="K20" s="276">
        <f t="shared" si="1"/>
        <v>3.6059673242899706E-3</v>
      </c>
      <c r="L20" s="112"/>
      <c r="N20" s="277"/>
    </row>
    <row r="21" spans="1:14">
      <c r="A21" s="274" t="s">
        <v>220</v>
      </c>
      <c r="B21" s="112"/>
      <c r="C21" s="278" t="s">
        <v>239</v>
      </c>
      <c r="D21" s="137"/>
      <c r="E21" s="64">
        <f>VLOOKUP(A21,'سود سپرده بانکی'!$A$7:$N$51,8,0)</f>
        <v>253388988</v>
      </c>
      <c r="F21" s="80"/>
      <c r="G21" s="276">
        <f t="shared" si="0"/>
        <v>1.4603904008810184E-2</v>
      </c>
      <c r="H21" s="88"/>
      <c r="I21" s="64">
        <f>VLOOKUP(A21,'سود سپرده بانکی'!$A$7:$N$51,14,0)</f>
        <v>247974100</v>
      </c>
      <c r="J21" s="112"/>
      <c r="K21" s="276">
        <f t="shared" si="1"/>
        <v>1.4324297636585185E-2</v>
      </c>
      <c r="L21" s="112"/>
      <c r="N21" s="277"/>
    </row>
    <row r="22" spans="1:14">
      <c r="A22" s="274" t="s">
        <v>221</v>
      </c>
      <c r="B22" s="112"/>
      <c r="C22" s="278" t="s">
        <v>240</v>
      </c>
      <c r="D22" s="137"/>
      <c r="E22" s="64">
        <f>VLOOKUP(A22,'سود سپرده بانکی'!$A$7:$N$51,8,0)</f>
        <v>231404520</v>
      </c>
      <c r="F22" s="80"/>
      <c r="G22" s="276">
        <f t="shared" si="0"/>
        <v>1.3336843972417604E-2</v>
      </c>
      <c r="H22" s="88"/>
      <c r="I22" s="64">
        <f>VLOOKUP(A22,'سود سپرده بانکی'!$A$7:$N$51,14,0)</f>
        <v>228741784</v>
      </c>
      <c r="J22" s="112"/>
      <c r="K22" s="276">
        <f t="shared" si="1"/>
        <v>1.3213337182953699E-2</v>
      </c>
      <c r="L22" s="112"/>
      <c r="N22" s="277"/>
    </row>
    <row r="23" spans="1:14">
      <c r="A23" s="274" t="s">
        <v>170</v>
      </c>
      <c r="B23" s="7"/>
      <c r="C23" s="275" t="s">
        <v>241</v>
      </c>
      <c r="D23" s="7"/>
      <c r="E23" s="64">
        <f>VLOOKUP(A23,'سود سپرده بانکی'!$A$7:$N$51,8,0)</f>
        <v>0</v>
      </c>
      <c r="F23" s="7"/>
      <c r="G23" s="276">
        <f t="shared" si="0"/>
        <v>0</v>
      </c>
      <c r="H23" s="7"/>
      <c r="I23" s="64">
        <f>VLOOKUP(A23,'سود سپرده بانکی'!$A$7:$N$51,14,0)</f>
        <v>0</v>
      </c>
      <c r="J23" s="7"/>
      <c r="K23" s="276">
        <f t="shared" si="1"/>
        <v>0</v>
      </c>
      <c r="L23" s="112"/>
      <c r="N23" s="277"/>
    </row>
    <row r="24" spans="1:14">
      <c r="A24" s="274" t="s">
        <v>108</v>
      </c>
      <c r="B24" s="7"/>
      <c r="C24" s="275" t="s">
        <v>242</v>
      </c>
      <c r="D24" s="7"/>
      <c r="E24" s="64">
        <f>VLOOKUP(A24,'سود سپرده بانکی'!$A$7:$N$51,8,0)</f>
        <v>5494</v>
      </c>
      <c r="F24" s="7"/>
      <c r="G24" s="276">
        <f t="shared" ref="G24:G37" si="2">E24/$E$53</f>
        <v>3.1664299722607974E-7</v>
      </c>
      <c r="H24" s="7"/>
      <c r="I24" s="64">
        <f>VLOOKUP(A24,'سود سپرده بانکی'!$A$7:$N$51,14,0)</f>
        <v>5494</v>
      </c>
      <c r="J24" s="7"/>
      <c r="K24" s="276">
        <f t="shared" si="1"/>
        <v>3.1736254397293512E-7</v>
      </c>
      <c r="L24" s="112"/>
      <c r="N24" s="277"/>
    </row>
    <row r="25" spans="1:14">
      <c r="A25" s="274" t="s">
        <v>115</v>
      </c>
      <c r="B25" s="7"/>
      <c r="C25" s="275" t="s">
        <v>243</v>
      </c>
      <c r="D25" s="7"/>
      <c r="E25" s="64">
        <f>VLOOKUP(A25,'سود سپرده بانکی'!$A$7:$N$51,8,0)</f>
        <v>146606293</v>
      </c>
      <c r="F25" s="7"/>
      <c r="G25" s="276">
        <f t="shared" si="2"/>
        <v>8.4495551561202826E-3</v>
      </c>
      <c r="H25" s="7"/>
      <c r="I25" s="64">
        <f>VLOOKUP(A25,'سود سپرده بانکی'!$A$7:$N$51,14,0)</f>
        <v>146606293</v>
      </c>
      <c r="J25" s="7"/>
      <c r="K25" s="276">
        <f t="shared" si="1"/>
        <v>8.4687561173865146E-3</v>
      </c>
      <c r="L25" s="112"/>
      <c r="N25" s="277"/>
    </row>
    <row r="26" spans="1:14">
      <c r="A26" s="274" t="s">
        <v>159</v>
      </c>
      <c r="B26" s="7"/>
      <c r="C26" s="275" t="s">
        <v>244</v>
      </c>
      <c r="D26" s="7"/>
      <c r="E26" s="64">
        <f>VLOOKUP(A26,'سود سپرده بانکی'!$A$7:$N$51,8,0)</f>
        <v>29916357</v>
      </c>
      <c r="F26" s="7"/>
      <c r="G26" s="276">
        <f t="shared" si="2"/>
        <v>1.7242091275146362E-3</v>
      </c>
      <c r="H26" s="7"/>
      <c r="I26" s="64">
        <f>VLOOKUP(A26,'سود سپرده بانکی'!$A$7:$N$51,14,0)</f>
        <v>29916357</v>
      </c>
      <c r="J26" s="7"/>
      <c r="K26" s="276">
        <f t="shared" si="1"/>
        <v>1.7281272595417775E-3</v>
      </c>
      <c r="L26" s="112"/>
      <c r="N26" s="277"/>
    </row>
    <row r="27" spans="1:14">
      <c r="A27" s="274" t="s">
        <v>160</v>
      </c>
      <c r="B27" s="7"/>
      <c r="C27" s="275" t="s">
        <v>245</v>
      </c>
      <c r="D27" s="7"/>
      <c r="E27" s="64">
        <f>VLOOKUP(A27,'سود سپرده بانکی'!$A$7:$N$51,8,0)</f>
        <v>30162341</v>
      </c>
      <c r="F27" s="7"/>
      <c r="G27" s="276">
        <f t="shared" si="2"/>
        <v>1.7383862500173046E-3</v>
      </c>
      <c r="H27" s="7"/>
      <c r="I27" s="64">
        <f>VLOOKUP(A27,'سود سپرده بانکی'!$A$7:$N$51,14,0)</f>
        <v>30162341</v>
      </c>
      <c r="J27" s="7"/>
      <c r="K27" s="276">
        <f t="shared" si="1"/>
        <v>1.7423365984599861E-3</v>
      </c>
      <c r="L27" s="112"/>
      <c r="N27" s="277"/>
    </row>
    <row r="28" spans="1:14">
      <c r="A28" s="274" t="s">
        <v>161</v>
      </c>
      <c r="B28" s="7"/>
      <c r="C28" s="275" t="s">
        <v>246</v>
      </c>
      <c r="D28" s="7"/>
      <c r="E28" s="64">
        <f>VLOOKUP(A28,'سود سپرده بانکی'!$A$7:$N$51,8,0)</f>
        <v>362310404</v>
      </c>
      <c r="F28" s="7"/>
      <c r="G28" s="276">
        <f t="shared" si="2"/>
        <v>2.0881516608800842E-2</v>
      </c>
      <c r="H28" s="7"/>
      <c r="I28" s="64">
        <f>VLOOKUP(A28,'سود سپرده بانکی'!$A$7:$N$51,14,0)</f>
        <v>362310404</v>
      </c>
      <c r="J28" s="7"/>
      <c r="K28" s="276">
        <f t="shared" si="1"/>
        <v>2.0928968241955205E-2</v>
      </c>
      <c r="L28" s="112"/>
      <c r="N28" s="277"/>
    </row>
    <row r="29" spans="1:14">
      <c r="A29" s="274" t="s">
        <v>162</v>
      </c>
      <c r="B29" s="7"/>
      <c r="C29" s="275" t="s">
        <v>247</v>
      </c>
      <c r="D29" s="7"/>
      <c r="E29" s="64">
        <f>VLOOKUP(A29,'سود سپرده بانکی'!$A$7:$N$51,8,0)</f>
        <v>755759589</v>
      </c>
      <c r="F29" s="7"/>
      <c r="G29" s="276">
        <f t="shared" si="2"/>
        <v>4.3557695930708074E-2</v>
      </c>
      <c r="H29" s="7"/>
      <c r="I29" s="64">
        <f>VLOOKUP(A29,'سود سپرده بانکی'!$A$7:$N$51,14,0)</f>
        <v>755759589</v>
      </c>
      <c r="J29" s="7"/>
      <c r="K29" s="276">
        <f t="shared" si="1"/>
        <v>4.365667742937384E-2</v>
      </c>
      <c r="L29" s="112"/>
      <c r="N29" s="277"/>
    </row>
    <row r="30" spans="1:14">
      <c r="A30" s="274" t="s">
        <v>122</v>
      </c>
      <c r="B30" s="7"/>
      <c r="C30" s="275" t="s">
        <v>248</v>
      </c>
      <c r="D30" s="7"/>
      <c r="E30" s="64">
        <f>VLOOKUP(A30,'سود سپرده بانکی'!$A$7:$N$51,8,0)</f>
        <v>6804854</v>
      </c>
      <c r="F30" s="7"/>
      <c r="G30" s="276">
        <f t="shared" si="2"/>
        <v>3.9219318642990129E-4</v>
      </c>
      <c r="H30" s="7"/>
      <c r="I30" s="64">
        <f>VLOOKUP(A30,'سود سپرده بانکی'!$A$7:$N$51,14,0)</f>
        <v>6804854</v>
      </c>
      <c r="J30" s="7"/>
      <c r="K30" s="276">
        <f t="shared" si="1"/>
        <v>3.9308441514459473E-4</v>
      </c>
      <c r="L30" s="112"/>
    </row>
    <row r="31" spans="1:14">
      <c r="A31" s="274" t="s">
        <v>114</v>
      </c>
      <c r="B31" s="7"/>
      <c r="C31" s="275" t="s">
        <v>249</v>
      </c>
      <c r="D31" s="7"/>
      <c r="E31" s="64">
        <f>VLOOKUP(A31,'سود سپرده بانکی'!$A$7:$N$51,8,0)</f>
        <v>806842597</v>
      </c>
      <c r="F31" s="7"/>
      <c r="G31" s="276">
        <f t="shared" si="2"/>
        <v>4.6501830761513284E-2</v>
      </c>
      <c r="H31" s="7"/>
      <c r="I31" s="64">
        <f>VLOOKUP(A31,'سود سپرده بانکی'!$A$7:$N$51,14,0)</f>
        <v>806842597</v>
      </c>
      <c r="J31" s="7"/>
      <c r="K31" s="276">
        <f t="shared" si="1"/>
        <v>4.6607502579113516E-2</v>
      </c>
      <c r="L31" s="112"/>
      <c r="N31" s="277"/>
    </row>
    <row r="32" spans="1:14">
      <c r="A32" s="274" t="s">
        <v>113</v>
      </c>
      <c r="B32" s="7"/>
      <c r="C32" s="275" t="s">
        <v>250</v>
      </c>
      <c r="D32" s="7"/>
      <c r="E32" s="64">
        <f>VLOOKUP(A32,'سود سپرده بانکی'!$A$7:$N$51,8,0)</f>
        <v>29208076</v>
      </c>
      <c r="F32" s="7"/>
      <c r="G32" s="276">
        <f t="shared" si="2"/>
        <v>1.6833878281483667E-3</v>
      </c>
      <c r="H32" s="7"/>
      <c r="I32" s="64">
        <f>VLOOKUP(A32,'سود سپرده بانکی'!$A$7:$N$51,14,0)</f>
        <v>29208076</v>
      </c>
      <c r="J32" s="7"/>
      <c r="K32" s="276">
        <f t="shared" si="1"/>
        <v>1.6872131969266164E-3</v>
      </c>
      <c r="L32" s="112"/>
      <c r="N32" s="277"/>
    </row>
    <row r="33" spans="1:14">
      <c r="A33" s="274" t="s">
        <v>111</v>
      </c>
      <c r="B33" s="7"/>
      <c r="C33" s="275" t="s">
        <v>251</v>
      </c>
      <c r="D33" s="7"/>
      <c r="E33" s="64">
        <f>VLOOKUP(A33,'سود سپرده بانکی'!$A$7:$N$51,8,0)</f>
        <v>17907522</v>
      </c>
      <c r="F33" s="7"/>
      <c r="G33" s="276">
        <f t="shared" si="2"/>
        <v>1.032087993988344E-3</v>
      </c>
      <c r="H33" s="7"/>
      <c r="I33" s="64">
        <f>VLOOKUP(A33,'سود سپرده بانکی'!$A$7:$N$51,14,0)</f>
        <v>17907522</v>
      </c>
      <c r="J33" s="7"/>
      <c r="K33" s="276">
        <f t="shared" si="1"/>
        <v>1.0344333342139249E-3</v>
      </c>
      <c r="L33" s="112"/>
      <c r="N33" s="277"/>
    </row>
    <row r="34" spans="1:14">
      <c r="A34" s="274" t="s">
        <v>112</v>
      </c>
      <c r="B34" s="112"/>
      <c r="C34" s="275" t="s">
        <v>252</v>
      </c>
      <c r="D34" s="137"/>
      <c r="E34" s="64">
        <f>VLOOKUP(A34,'سود سپرده بانکی'!$A$7:$N$51,8,0)</f>
        <v>3801579</v>
      </c>
      <c r="F34" s="80"/>
      <c r="G34" s="276">
        <f t="shared" si="2"/>
        <v>2.1910145044625465E-4</v>
      </c>
      <c r="H34" s="88"/>
      <c r="I34" s="64">
        <f>VLOOKUP(A34,'سود سپرده بانکی'!$A$7:$N$51,14,0)</f>
        <v>3801579</v>
      </c>
      <c r="J34" s="112"/>
      <c r="K34" s="276">
        <f t="shared" si="1"/>
        <v>2.1959934156426771E-4</v>
      </c>
      <c r="L34" s="112"/>
      <c r="N34" s="277"/>
    </row>
    <row r="35" spans="1:14">
      <c r="A35" s="274" t="s">
        <v>110</v>
      </c>
      <c r="B35" s="112"/>
      <c r="C35" s="275" t="s">
        <v>253</v>
      </c>
      <c r="D35" s="137"/>
      <c r="E35" s="64">
        <f>VLOOKUP(A35,'سود سپرده بانکی'!$A$7:$N$51,8,0)</f>
        <v>14960344</v>
      </c>
      <c r="F35" s="80"/>
      <c r="G35" s="276">
        <f t="shared" si="2"/>
        <v>8.6222937089428442E-4</v>
      </c>
      <c r="H35" s="88"/>
      <c r="I35" s="64">
        <f>VLOOKUP(A35,'سود سپرده بانکی'!$A$7:$N$51,14,0)</f>
        <v>14960344</v>
      </c>
      <c r="J35" s="112"/>
      <c r="K35" s="276">
        <f t="shared" si="1"/>
        <v>8.64188720522431E-4</v>
      </c>
      <c r="L35" s="112"/>
    </row>
    <row r="36" spans="1:14">
      <c r="A36" s="274" t="s">
        <v>123</v>
      </c>
      <c r="B36" s="112"/>
      <c r="C36" s="275" t="s">
        <v>205</v>
      </c>
      <c r="D36" s="137"/>
      <c r="E36" s="64">
        <f>VLOOKUP(A36,'سود سپرده بانکی'!$A$7:$N$51,8,0)</f>
        <v>0</v>
      </c>
      <c r="F36" s="80"/>
      <c r="G36" s="276">
        <f t="shared" si="2"/>
        <v>0</v>
      </c>
      <c r="H36" s="88"/>
      <c r="I36" s="64">
        <f>VLOOKUP(A36,'سود سپرده بانکی'!$A$7:$N$51,14,0)</f>
        <v>0</v>
      </c>
      <c r="J36" s="112"/>
      <c r="K36" s="276">
        <f t="shared" si="1"/>
        <v>0</v>
      </c>
      <c r="L36" s="112"/>
    </row>
    <row r="37" spans="1:14">
      <c r="A37" s="274" t="s">
        <v>109</v>
      </c>
      <c r="B37" s="112"/>
      <c r="C37" s="275" t="s">
        <v>254</v>
      </c>
      <c r="D37" s="137"/>
      <c r="E37" s="64">
        <f>VLOOKUP(A37,'سود سپرده بانکی'!$A$7:$N$51,8,0)</f>
        <v>0</v>
      </c>
      <c r="F37" s="80"/>
      <c r="G37" s="276">
        <f t="shared" si="2"/>
        <v>0</v>
      </c>
      <c r="H37" s="88"/>
      <c r="I37" s="64">
        <f>VLOOKUP(A37,'سود سپرده بانکی'!$A$7:$N$51,14,0)</f>
        <v>0</v>
      </c>
      <c r="J37" s="112"/>
      <c r="K37" s="276">
        <f t="shared" ref="K37" si="3">I37/$I$53</f>
        <v>0</v>
      </c>
      <c r="L37" s="112"/>
    </row>
    <row r="38" spans="1:14">
      <c r="A38" s="274" t="s">
        <v>201</v>
      </c>
      <c r="B38" s="112"/>
      <c r="C38" s="275" t="s">
        <v>255</v>
      </c>
      <c r="D38" s="137"/>
      <c r="E38" s="64">
        <f>VLOOKUP(A38,'سود سپرده بانکی'!$A$7:$N$51,8,0)</f>
        <v>2130000000</v>
      </c>
      <c r="F38" s="80"/>
      <c r="G38" s="276">
        <f t="shared" ref="G38:G52" si="4">E38/$E$53</f>
        <v>0.12276111832754821</v>
      </c>
      <c r="H38" s="88"/>
      <c r="I38" s="64">
        <f>VLOOKUP(A38,'سود سپرده بانکی'!$A$7:$N$51,14,0)</f>
        <v>2130000000</v>
      </c>
      <c r="J38" s="112"/>
      <c r="K38" s="276">
        <f t="shared" ref="K38:K52" si="5">I38/$I$53</f>
        <v>0.12304008348422858</v>
      </c>
      <c r="L38" s="112"/>
    </row>
    <row r="39" spans="1:14">
      <c r="A39" s="274" t="s">
        <v>202</v>
      </c>
      <c r="B39" s="112"/>
      <c r="C39" s="275" t="s">
        <v>256</v>
      </c>
      <c r="D39" s="137"/>
      <c r="E39" s="64">
        <f>VLOOKUP(A39,'سود سپرده بانکی'!$A$7:$N$51,8,0)</f>
        <v>500274990</v>
      </c>
      <c r="F39" s="80"/>
      <c r="G39" s="276">
        <f t="shared" si="4"/>
        <v>2.8833012790470892E-2</v>
      </c>
      <c r="H39" s="88"/>
      <c r="I39" s="64">
        <f>VLOOKUP(A39,'سود سپرده بانکی'!$A$7:$N$51,14,0)</f>
        <v>500274990</v>
      </c>
      <c r="J39" s="112"/>
      <c r="K39" s="276">
        <f t="shared" si="5"/>
        <v>2.8898533584352872E-2</v>
      </c>
      <c r="L39" s="112"/>
    </row>
    <row r="40" spans="1:14">
      <c r="A40" s="274" t="s">
        <v>203</v>
      </c>
      <c r="B40" s="112"/>
      <c r="C40" s="275" t="s">
        <v>257</v>
      </c>
      <c r="D40" s="137"/>
      <c r="E40" s="64">
        <f>VLOOKUP(A40,'سود سپرده بانکی'!$A$7:$N$51,8,0)</f>
        <v>91350000</v>
      </c>
      <c r="F40" s="80"/>
      <c r="G40" s="276">
        <f t="shared" si="4"/>
        <v>5.2648958493997791E-3</v>
      </c>
      <c r="H40" s="88"/>
      <c r="I40" s="64">
        <f>VLOOKUP(A40,'سود سپرده بانکی'!$A$7:$N$51,14,0)</f>
        <v>91350000</v>
      </c>
      <c r="J40" s="112"/>
      <c r="K40" s="276">
        <f t="shared" si="5"/>
        <v>5.2768599184433241E-3</v>
      </c>
      <c r="L40" s="112"/>
    </row>
    <row r="41" spans="1:14">
      <c r="A41" s="274" t="s">
        <v>204</v>
      </c>
      <c r="B41" s="112"/>
      <c r="C41" s="275" t="s">
        <v>258</v>
      </c>
      <c r="D41" s="137"/>
      <c r="E41" s="64">
        <f>VLOOKUP(A41,'سود سپرده بانکی'!$A$7:$N$51,8,0)</f>
        <v>249999990</v>
      </c>
      <c r="F41" s="80"/>
      <c r="G41" s="276">
        <f t="shared" si="4"/>
        <v>1.4408581386983976E-2</v>
      </c>
      <c r="H41" s="88"/>
      <c r="I41" s="64">
        <f>VLOOKUP(A41,'سود سپرده بانکی'!$A$7:$N$51,14,0)</f>
        <v>249999990</v>
      </c>
      <c r="J41" s="112"/>
      <c r="K41" s="276">
        <f t="shared" si="5"/>
        <v>1.4441323774956015E-2</v>
      </c>
      <c r="L41" s="112"/>
    </row>
    <row r="42" spans="1:14">
      <c r="A42" s="274" t="s">
        <v>174</v>
      </c>
      <c r="B42" s="112"/>
      <c r="C42" s="275" t="s">
        <v>259</v>
      </c>
      <c r="D42" s="137"/>
      <c r="E42" s="64">
        <f>VLOOKUP(A42,'سود سپرده بانکی'!$A$7:$N$51,8,0)</f>
        <v>760729740</v>
      </c>
      <c r="F42" s="80"/>
      <c r="G42" s="276">
        <f t="shared" si="4"/>
        <v>4.3844147242922529E-2</v>
      </c>
      <c r="H42" s="88"/>
      <c r="I42" s="64">
        <f>VLOOKUP(A42,'سود سپرده بانکی'!$A$7:$N$51,14,0)</f>
        <v>760729740</v>
      </c>
      <c r="J42" s="112"/>
      <c r="K42" s="276">
        <f t="shared" si="5"/>
        <v>4.3943779680063619E-2</v>
      </c>
      <c r="L42" s="112"/>
    </row>
    <row r="43" spans="1:14">
      <c r="A43" s="274" t="s">
        <v>175</v>
      </c>
      <c r="B43" s="112"/>
      <c r="C43" s="275" t="s">
        <v>260</v>
      </c>
      <c r="D43" s="137"/>
      <c r="E43" s="64">
        <f>VLOOKUP(A43,'سود سپرده بانکی'!$A$7:$N$51,8,0)</f>
        <v>0</v>
      </c>
      <c r="F43" s="80"/>
      <c r="G43" s="276">
        <f t="shared" si="4"/>
        <v>0</v>
      </c>
      <c r="H43" s="88"/>
      <c r="I43" s="64">
        <f>VLOOKUP(A43,'سود سپرده بانکی'!$A$7:$N$51,14,0)</f>
        <v>0</v>
      </c>
      <c r="J43" s="112"/>
      <c r="K43" s="276">
        <f t="shared" si="5"/>
        <v>0</v>
      </c>
      <c r="L43" s="112"/>
    </row>
    <row r="44" spans="1:14">
      <c r="A44" s="274" t="s">
        <v>176</v>
      </c>
      <c r="B44" s="112"/>
      <c r="C44" s="275" t="s">
        <v>261</v>
      </c>
      <c r="D44" s="137"/>
      <c r="E44" s="64">
        <f>VLOOKUP(A44,'سود سپرده بانکی'!$A$7:$N$51,8,0)</f>
        <v>6003506</v>
      </c>
      <c r="F44" s="80"/>
      <c r="G44" s="276">
        <f t="shared" si="4"/>
        <v>3.4600803307330779E-4</v>
      </c>
      <c r="H44" s="88"/>
      <c r="I44" s="64">
        <f>VLOOKUP(A44,'سود سپرده بانکی'!$A$7:$N$51,14,0)</f>
        <v>6003506</v>
      </c>
      <c r="J44" s="112"/>
      <c r="K44" s="276">
        <f t="shared" si="5"/>
        <v>3.4679430959533671E-4</v>
      </c>
      <c r="L44" s="112"/>
    </row>
    <row r="45" spans="1:14">
      <c r="A45" s="274" t="s">
        <v>95</v>
      </c>
      <c r="B45" s="112"/>
      <c r="C45" s="275" t="s">
        <v>262</v>
      </c>
      <c r="D45" s="137"/>
      <c r="E45" s="64">
        <f>VLOOKUP(A45,'سود سپرده بانکی'!$A$7:$N$51,8,0)</f>
        <v>0</v>
      </c>
      <c r="F45" s="80"/>
      <c r="G45" s="276">
        <f t="shared" si="4"/>
        <v>0</v>
      </c>
      <c r="H45" s="88"/>
      <c r="I45" s="64">
        <f>VLOOKUP(A45,'سود سپرده بانکی'!$A$7:$N$51,14,0)</f>
        <v>0</v>
      </c>
      <c r="J45" s="112"/>
      <c r="K45" s="276">
        <f t="shared" si="5"/>
        <v>0</v>
      </c>
      <c r="L45" s="112"/>
    </row>
    <row r="46" spans="1:14">
      <c r="A46" s="274" t="s">
        <v>97</v>
      </c>
      <c r="B46" s="112"/>
      <c r="C46" s="275" t="s">
        <v>263</v>
      </c>
      <c r="D46" s="137"/>
      <c r="E46" s="64">
        <f>VLOOKUP(A46,'سود سپرده بانکی'!$A$7:$N$51,8,0)</f>
        <v>3956</v>
      </c>
      <c r="F46" s="80"/>
      <c r="G46" s="276">
        <f t="shared" si="4"/>
        <v>2.2800140098769047E-7</v>
      </c>
      <c r="H46" s="88"/>
      <c r="I46" s="64">
        <f>VLOOKUP(A46,'سود سپرده بانکی'!$A$7:$N$51,14,0)</f>
        <v>3956</v>
      </c>
      <c r="J46" s="112"/>
      <c r="K46" s="276">
        <f t="shared" si="5"/>
        <v>2.2851951655568464E-7</v>
      </c>
      <c r="L46" s="112"/>
      <c r="N46" s="277"/>
    </row>
    <row r="47" spans="1:14">
      <c r="A47" s="274" t="s">
        <v>98</v>
      </c>
      <c r="B47" s="112"/>
      <c r="C47" s="275" t="s">
        <v>264</v>
      </c>
      <c r="D47" s="137"/>
      <c r="E47" s="64">
        <f>VLOOKUP(A47,'سود سپرده بانکی'!$A$7:$N$51,8,0)</f>
        <v>0</v>
      </c>
      <c r="F47" s="80"/>
      <c r="G47" s="276">
        <f t="shared" si="4"/>
        <v>0</v>
      </c>
      <c r="H47" s="88"/>
      <c r="I47" s="64">
        <f>VLOOKUP(A47,'سود سپرده بانکی'!$A$7:$N$51,14,0)</f>
        <v>0</v>
      </c>
      <c r="J47" s="112"/>
      <c r="K47" s="276">
        <f t="shared" si="5"/>
        <v>0</v>
      </c>
      <c r="L47" s="112"/>
      <c r="N47" s="277"/>
    </row>
    <row r="48" spans="1:14">
      <c r="A48" s="274" t="s">
        <v>225</v>
      </c>
      <c r="B48" s="112"/>
      <c r="C48" s="275" t="s">
        <v>265</v>
      </c>
      <c r="D48" s="137"/>
      <c r="E48" s="64">
        <f>VLOOKUP(A48,'سود سپرده بانکی'!$A$7:$N$51,8,0)</f>
        <v>3727131215</v>
      </c>
      <c r="F48" s="80"/>
      <c r="G48" s="276">
        <f t="shared" si="4"/>
        <v>0.21481070239761199</v>
      </c>
      <c r="H48" s="88"/>
      <c r="I48" s="64">
        <f>VLOOKUP(A48,'سود سپرده بانکی'!$A$7:$N$51,14,0)</f>
        <v>3727131215</v>
      </c>
      <c r="J48" s="112"/>
      <c r="K48" s="276">
        <f t="shared" si="5"/>
        <v>0.21529884312219449</v>
      </c>
      <c r="L48" s="112"/>
      <c r="N48" s="277"/>
    </row>
    <row r="49" spans="1:14">
      <c r="A49" s="274" t="s">
        <v>224</v>
      </c>
      <c r="B49" s="112"/>
      <c r="C49" s="275" t="s">
        <v>266</v>
      </c>
      <c r="D49" s="137"/>
      <c r="E49" s="64">
        <f>VLOOKUP(A49,'سود سپرده بانکی'!$A$7:$N$51,8,0)</f>
        <v>452157368</v>
      </c>
      <c r="F49" s="80"/>
      <c r="G49" s="276">
        <f t="shared" si="4"/>
        <v>2.6059785988601297E-2</v>
      </c>
      <c r="H49" s="88"/>
      <c r="I49" s="64">
        <f>VLOOKUP(A49,'سود سپرده بانکی'!$A$7:$N$51,14,0)</f>
        <v>452157368</v>
      </c>
      <c r="J49" s="112"/>
      <c r="K49" s="276">
        <f t="shared" si="5"/>
        <v>2.6119004838839936E-2</v>
      </c>
      <c r="L49" s="112"/>
    </row>
    <row r="50" spans="1:14">
      <c r="A50" s="274" t="s">
        <v>223</v>
      </c>
      <c r="B50" s="112"/>
      <c r="C50" s="275" t="s">
        <v>267</v>
      </c>
      <c r="D50" s="137"/>
      <c r="E50" s="64">
        <f>VLOOKUP(A50,'سود سپرده بانکی'!$A$7:$N$51,8,0)</f>
        <v>407483610</v>
      </c>
      <c r="F50" s="80"/>
      <c r="G50" s="276">
        <f t="shared" si="4"/>
        <v>2.3485043973589907E-2</v>
      </c>
      <c r="H50" s="88"/>
      <c r="I50" s="64">
        <f>VLOOKUP(A50,'سود سپرده بانکی'!$A$7:$N$51,14,0)</f>
        <v>407483610</v>
      </c>
      <c r="J50" s="112"/>
      <c r="K50" s="276">
        <f t="shared" si="5"/>
        <v>2.3538411921528092E-2</v>
      </c>
      <c r="L50" s="112"/>
      <c r="N50" s="277"/>
    </row>
    <row r="51" spans="1:14">
      <c r="A51" s="274" t="s">
        <v>226</v>
      </c>
      <c r="B51" s="112"/>
      <c r="C51" s="275" t="s">
        <v>268</v>
      </c>
      <c r="D51" s="137"/>
      <c r="E51" s="64">
        <f>VLOOKUP(A51,'سود سپرده بانکی'!$A$7:$N$51,8,0)</f>
        <v>0</v>
      </c>
      <c r="F51" s="80"/>
      <c r="G51" s="276">
        <f t="shared" si="4"/>
        <v>0</v>
      </c>
      <c r="H51" s="88"/>
      <c r="I51" s="64">
        <f>VLOOKUP(A51,'سود سپرده بانکی'!$A$7:$N$51,14,0)</f>
        <v>0</v>
      </c>
      <c r="J51" s="112"/>
      <c r="K51" s="276">
        <f t="shared" si="5"/>
        <v>0</v>
      </c>
      <c r="L51" s="112"/>
      <c r="N51" s="277"/>
    </row>
    <row r="52" spans="1:14" ht="17.649999999999999" thickBot="1">
      <c r="A52" s="274" t="s">
        <v>222</v>
      </c>
      <c r="B52" s="112"/>
      <c r="C52" s="275" t="s">
        <v>269</v>
      </c>
      <c r="D52" s="137"/>
      <c r="E52" s="64">
        <f>VLOOKUP(A52,'سود سپرده بانکی'!$A$7:$N$51,8,0)</f>
        <v>98360656</v>
      </c>
      <c r="F52" s="80"/>
      <c r="G52" s="276">
        <f t="shared" si="4"/>
        <v>5.6689502957705468E-3</v>
      </c>
      <c r="H52" s="88"/>
      <c r="I52" s="64">
        <f>VLOOKUP(A52,'سود سپرده بانکی'!$A$7:$N$51,14,0)</f>
        <v>98360656</v>
      </c>
      <c r="J52" s="112"/>
      <c r="K52" s="276">
        <f t="shared" si="5"/>
        <v>5.6818325473255819E-3</v>
      </c>
      <c r="L52" s="112"/>
      <c r="N52" s="277"/>
    </row>
    <row r="53" spans="1:14" ht="17.649999999999999" thickBot="1">
      <c r="A53" s="279" t="s">
        <v>2</v>
      </c>
      <c r="B53" s="272"/>
      <c r="D53" s="279"/>
      <c r="E53" s="280">
        <f>SUM(E8:E52)</f>
        <v>17350770578</v>
      </c>
      <c r="F53" s="7"/>
      <c r="G53" s="281">
        <f>SUM(G8:G52)</f>
        <v>1</v>
      </c>
      <c r="H53" s="7"/>
      <c r="I53" s="280">
        <f>SUM(I8:I52)</f>
        <v>17311431687</v>
      </c>
      <c r="J53" s="7"/>
      <c r="K53" s="281">
        <f>SUM(K8:K52)</f>
        <v>0.99999999999999978</v>
      </c>
      <c r="L53" s="112"/>
    </row>
    <row r="54" spans="1:14" ht="17.649999999999999" thickTop="1"/>
  </sheetData>
  <autoFilter ref="A7:L53" xr:uid="{00000000-0009-0000-0000-00000C000000}">
    <sortState xmlns:xlrd2="http://schemas.microsoft.com/office/spreadsheetml/2017/richdata2" ref="A8:L52">
      <sortCondition sortBy="cellColor" ref="I8:I52" dxfId="4"/>
      <sortCondition sortBy="cellColor" ref="E8:E52" dxfId="3"/>
      <sortCondition sortBy="cellColor" ref="E8:E52" dxfId="2"/>
      <sortCondition descending="1" sortBy="cellColor" ref="E8:E52" dxfId="1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2" type="noConversion"/>
  <conditionalFormatting sqref="A1:A13 A48:A1048576 A20:A46">
    <cfRule type="duplicateValues" dxfId="0" priority="3"/>
  </conditionalFormatting>
  <pageMargins left="0.7" right="0.7" top="0.75" bottom="0.75" header="0.3" footer="0.3"/>
  <pageSetup paperSize="9"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54EF-103F-423C-98F5-8B94ED89BC42}">
  <sheetPr>
    <tabColor theme="4" tint="0.79998168889431442"/>
  </sheetPr>
  <dimension ref="A1:AG13"/>
  <sheetViews>
    <sheetView rightToLeft="1" view="pageBreakPreview" topLeftCell="D1" zoomScale="85" zoomScaleNormal="100" zoomScaleSheetLayoutView="85" workbookViewId="0">
      <selection activeCell="D1" sqref="A1:XFD1048576"/>
    </sheetView>
  </sheetViews>
  <sheetFormatPr defaultColWidth="9.1328125" defaultRowHeight="30.75" customHeight="1"/>
  <cols>
    <col min="1" max="1" width="37.59765625" style="111" customWidth="1"/>
    <col min="2" max="2" width="0.59765625" style="111" customWidth="1"/>
    <col min="3" max="3" width="14" style="111" customWidth="1"/>
    <col min="4" max="4" width="0.3984375" style="111" customWidth="1"/>
    <col min="5" max="5" width="14" style="111" customWidth="1"/>
    <col min="6" max="6" width="0.59765625" style="111" customWidth="1"/>
    <col min="7" max="7" width="22.59765625" style="73" customWidth="1"/>
    <col min="8" max="8" width="0.3984375" style="73" customWidth="1"/>
    <col min="9" max="9" width="14" style="73" customWidth="1"/>
    <col min="10" max="10" width="0.73046875" style="73" customWidth="1"/>
    <col min="11" max="11" width="22.59765625" style="73" customWidth="1"/>
    <col min="12" max="12" width="0.73046875" style="73" customWidth="1"/>
    <col min="13" max="13" width="24.59765625" style="73" customWidth="1"/>
    <col min="14" max="14" width="0.59765625" style="73" customWidth="1"/>
    <col min="15" max="15" width="18.1328125" style="73" customWidth="1"/>
    <col min="16" max="16" width="0.59765625" style="73" customWidth="1"/>
    <col min="17" max="17" width="26.1328125" style="73" customWidth="1"/>
    <col min="18" max="18" width="4.265625" style="111" customWidth="1"/>
    <col min="19" max="19" width="6.73046875" style="283" customWidth="1"/>
    <col min="20" max="20" width="9.3984375" style="73" customWidth="1"/>
    <col min="21" max="21" width="14.59765625" style="111" bestFit="1" customWidth="1"/>
    <col min="22" max="22" width="16" style="73" customWidth="1"/>
    <col min="23" max="23" width="6.3984375" style="111" customWidth="1"/>
    <col min="24" max="24" width="17.86328125" style="111" customWidth="1"/>
    <col min="25" max="25" width="15.3984375" style="111" customWidth="1"/>
    <col min="26" max="26" width="3.265625" style="111" customWidth="1"/>
    <col min="27" max="27" width="4.265625" style="111" customWidth="1"/>
    <col min="28" max="28" width="7.59765625" style="283" customWidth="1"/>
    <col min="29" max="29" width="13.86328125" style="73" customWidth="1"/>
    <col min="30" max="30" width="6.3984375" style="111" customWidth="1"/>
    <col min="31" max="31" width="16" style="73" customWidth="1"/>
    <col min="32" max="32" width="6.3984375" style="111" customWidth="1"/>
    <col min="33" max="33" width="13.1328125" style="111" customWidth="1"/>
    <col min="34" max="34" width="21" style="111" customWidth="1"/>
    <col min="35" max="16384" width="9.1328125" style="111"/>
  </cols>
  <sheetData>
    <row r="1" spans="1:33" s="99" customFormat="1" ht="24.6" customHeight="1">
      <c r="A1" s="397" t="s">
        <v>80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S1" s="282"/>
      <c r="T1" s="68"/>
      <c r="V1" s="68"/>
      <c r="AB1" s="282"/>
      <c r="AC1" s="68"/>
      <c r="AE1" s="68"/>
    </row>
    <row r="2" spans="1:33" s="99" customFormat="1" ht="24.6" customHeight="1">
      <c r="A2" s="397" t="s">
        <v>50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S2" s="282"/>
      <c r="T2" s="68"/>
      <c r="V2" s="68"/>
      <c r="AB2" s="282"/>
      <c r="AC2" s="68"/>
      <c r="AE2" s="68"/>
    </row>
    <row r="3" spans="1:33" s="99" customFormat="1" ht="24.6" customHeight="1">
      <c r="A3" s="397" t="str">
        <f>' سهام'!A3:W3</f>
        <v>برای ماه منتهی به 1403/11/30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S3" s="282"/>
      <c r="T3" s="68"/>
      <c r="V3" s="68"/>
      <c r="AB3" s="282"/>
      <c r="AC3" s="68"/>
      <c r="AE3" s="68"/>
    </row>
    <row r="4" spans="1:33" ht="30.75" customHeight="1">
      <c r="A4" s="404" t="s">
        <v>153</v>
      </c>
      <c r="B4" s="404"/>
      <c r="C4" s="404"/>
      <c r="D4" s="404"/>
      <c r="E4" s="404"/>
      <c r="F4" s="404"/>
      <c r="G4" s="404"/>
      <c r="H4" s="69"/>
      <c r="I4" s="70"/>
      <c r="J4" s="70"/>
      <c r="K4" s="70"/>
      <c r="L4" s="70"/>
      <c r="M4" s="70"/>
      <c r="N4" s="70"/>
      <c r="O4" s="67"/>
      <c r="P4" s="70"/>
      <c r="Q4" s="70"/>
    </row>
    <row r="5" spans="1:33" ht="21.6" customHeight="1" thickBot="1">
      <c r="A5" s="284"/>
      <c r="B5" s="405"/>
      <c r="C5" s="405"/>
      <c r="D5" s="405"/>
      <c r="E5" s="405"/>
      <c r="F5" s="286"/>
      <c r="G5" s="406" t="s">
        <v>209</v>
      </c>
      <c r="H5" s="406"/>
      <c r="I5" s="406"/>
      <c r="J5" s="406"/>
      <c r="K5" s="406"/>
      <c r="L5" s="70"/>
      <c r="M5" s="406" t="s">
        <v>210</v>
      </c>
      <c r="N5" s="406"/>
      <c r="O5" s="406"/>
      <c r="P5" s="406"/>
      <c r="Q5" s="406"/>
    </row>
    <row r="6" spans="1:33" ht="42" customHeight="1" thickBot="1">
      <c r="A6" s="19" t="s">
        <v>32</v>
      </c>
      <c r="B6" s="232"/>
      <c r="C6" s="287" t="s">
        <v>21</v>
      </c>
      <c r="D6" s="232"/>
      <c r="E6" s="287" t="s">
        <v>29</v>
      </c>
      <c r="F6" s="232"/>
      <c r="G6" s="71" t="s">
        <v>51</v>
      </c>
      <c r="H6" s="72"/>
      <c r="I6" s="71" t="s">
        <v>34</v>
      </c>
      <c r="J6" s="72"/>
      <c r="K6" s="71" t="s">
        <v>35</v>
      </c>
      <c r="L6" s="70"/>
      <c r="M6" s="71" t="s">
        <v>51</v>
      </c>
      <c r="N6" s="72"/>
      <c r="O6" s="71" t="s">
        <v>34</v>
      </c>
      <c r="P6" s="72"/>
      <c r="Q6" s="71" t="s">
        <v>35</v>
      </c>
    </row>
    <row r="7" spans="1:33" ht="30" customHeight="1">
      <c r="A7" s="288" t="s">
        <v>193</v>
      </c>
      <c r="B7" s="289"/>
      <c r="C7" s="290" t="s">
        <v>197</v>
      </c>
      <c r="D7" s="99"/>
      <c r="E7" s="84">
        <v>26</v>
      </c>
      <c r="F7" s="99"/>
      <c r="G7" s="290">
        <v>6195571024</v>
      </c>
      <c r="H7" s="290"/>
      <c r="I7" s="290">
        <v>0</v>
      </c>
      <c r="J7" s="290"/>
      <c r="K7" s="290">
        <f>G7+I7</f>
        <v>6195571024</v>
      </c>
      <c r="L7" s="290"/>
      <c r="M7" s="290">
        <v>10394104222</v>
      </c>
      <c r="N7" s="290"/>
      <c r="O7" s="290">
        <v>0</v>
      </c>
      <c r="P7" s="290"/>
      <c r="Q7" s="290">
        <f>M7+O7</f>
        <v>10394104222</v>
      </c>
      <c r="S7" s="291"/>
      <c r="U7" s="152"/>
      <c r="W7" s="292"/>
      <c r="X7" s="264"/>
      <c r="AB7" s="291"/>
      <c r="AF7" s="292"/>
      <c r="AG7" s="264"/>
    </row>
    <row r="8" spans="1:33" ht="30" customHeight="1">
      <c r="A8" s="288" t="s">
        <v>104</v>
      </c>
      <c r="B8" s="289"/>
      <c r="C8" s="290" t="s">
        <v>105</v>
      </c>
      <c r="D8" s="99"/>
      <c r="E8" s="84">
        <v>15</v>
      </c>
      <c r="F8" s="99"/>
      <c r="G8" s="290">
        <v>0</v>
      </c>
      <c r="H8" s="290"/>
      <c r="I8" s="290">
        <v>0</v>
      </c>
      <c r="J8" s="290"/>
      <c r="K8" s="290">
        <f t="shared" ref="K8:K11" si="0">G8+I8</f>
        <v>0</v>
      </c>
      <c r="L8" s="290"/>
      <c r="M8" s="290">
        <v>1298748528</v>
      </c>
      <c r="N8" s="290"/>
      <c r="O8" s="290">
        <v>0</v>
      </c>
      <c r="P8" s="290"/>
      <c r="Q8" s="290">
        <f t="shared" ref="Q8:Q11" si="1">M8+O8</f>
        <v>1298748528</v>
      </c>
      <c r="R8" s="152"/>
      <c r="S8" s="68"/>
      <c r="U8" s="152"/>
      <c r="W8" s="292"/>
      <c r="X8" s="264"/>
      <c r="AB8" s="282"/>
      <c r="AD8" s="292"/>
      <c r="AF8" s="292"/>
      <c r="AG8" s="264"/>
    </row>
    <row r="9" spans="1:33" ht="30" customHeight="1">
      <c r="A9" s="288" t="s">
        <v>192</v>
      </c>
      <c r="B9" s="289"/>
      <c r="C9" s="290" t="s">
        <v>196</v>
      </c>
      <c r="D9" s="99"/>
      <c r="E9" s="84">
        <v>23</v>
      </c>
      <c r="F9" s="99"/>
      <c r="G9" s="290">
        <v>2123178279</v>
      </c>
      <c r="H9" s="290"/>
      <c r="I9" s="290">
        <v>0</v>
      </c>
      <c r="J9" s="290"/>
      <c r="K9" s="290">
        <f t="shared" si="0"/>
        <v>2123178279</v>
      </c>
      <c r="L9" s="290"/>
      <c r="M9" s="290">
        <v>3432224636</v>
      </c>
      <c r="N9" s="290"/>
      <c r="O9" s="290">
        <v>0</v>
      </c>
      <c r="P9" s="290"/>
      <c r="Q9" s="290">
        <f t="shared" si="1"/>
        <v>3432224636</v>
      </c>
      <c r="R9" s="152"/>
      <c r="S9" s="68"/>
      <c r="U9" s="152"/>
      <c r="W9" s="292"/>
      <c r="X9" s="264"/>
      <c r="AB9" s="282"/>
      <c r="AD9" s="292"/>
      <c r="AF9" s="292"/>
      <c r="AG9" s="264"/>
    </row>
    <row r="10" spans="1:33" ht="30" customHeight="1">
      <c r="A10" s="288" t="s">
        <v>117</v>
      </c>
      <c r="B10" s="289"/>
      <c r="C10" s="290" t="s">
        <v>121</v>
      </c>
      <c r="D10" s="99"/>
      <c r="E10" s="84">
        <v>23</v>
      </c>
      <c r="F10" s="99"/>
      <c r="G10" s="290">
        <v>9066171469</v>
      </c>
      <c r="H10" s="290"/>
      <c r="I10" s="290">
        <v>0</v>
      </c>
      <c r="J10" s="290"/>
      <c r="K10" s="290">
        <f t="shared" si="0"/>
        <v>9066171469</v>
      </c>
      <c r="L10" s="290"/>
      <c r="M10" s="290">
        <v>18038844154</v>
      </c>
      <c r="N10" s="290"/>
      <c r="O10" s="290">
        <v>0</v>
      </c>
      <c r="P10" s="290"/>
      <c r="Q10" s="290">
        <f t="shared" si="1"/>
        <v>18038844154</v>
      </c>
      <c r="S10" s="68"/>
      <c r="U10" s="152"/>
      <c r="W10" s="292"/>
      <c r="X10" s="264"/>
      <c r="AB10" s="282"/>
      <c r="AD10" s="293"/>
      <c r="AF10" s="292"/>
      <c r="AG10" s="264"/>
    </row>
    <row r="11" spans="1:33" ht="30" customHeight="1">
      <c r="A11" s="288" t="s">
        <v>166</v>
      </c>
      <c r="B11" s="289"/>
      <c r="C11" s="290" t="s">
        <v>168</v>
      </c>
      <c r="D11" s="99"/>
      <c r="E11" s="84">
        <v>20.5</v>
      </c>
      <c r="F11" s="99"/>
      <c r="G11" s="290">
        <v>5835844538</v>
      </c>
      <c r="H11" s="290"/>
      <c r="I11" s="290">
        <v>0</v>
      </c>
      <c r="J11" s="290"/>
      <c r="K11" s="290">
        <f t="shared" si="0"/>
        <v>5835844538</v>
      </c>
      <c r="L11" s="290"/>
      <c r="M11" s="290">
        <v>12102084760</v>
      </c>
      <c r="N11" s="290"/>
      <c r="O11" s="290">
        <v>0</v>
      </c>
      <c r="P11" s="290"/>
      <c r="Q11" s="290">
        <f t="shared" si="1"/>
        <v>12102084760</v>
      </c>
      <c r="R11" s="152"/>
      <c r="S11" s="68"/>
      <c r="U11" s="152"/>
      <c r="W11" s="292"/>
      <c r="X11" s="264"/>
      <c r="AB11" s="282"/>
      <c r="AD11" s="293"/>
      <c r="AF11" s="292"/>
      <c r="AG11" s="264"/>
    </row>
    <row r="12" spans="1:33" s="99" customFormat="1" ht="24.75" customHeight="1" thickBot="1">
      <c r="A12" s="294" t="s">
        <v>2</v>
      </c>
      <c r="B12" s="295"/>
      <c r="C12" s="296"/>
      <c r="D12" s="297"/>
      <c r="E12" s="179"/>
      <c r="F12" s="186">
        <f>SUM(F7:F11)</f>
        <v>0</v>
      </c>
      <c r="G12" s="298">
        <f>SUM(G7:G11)</f>
        <v>23220765310</v>
      </c>
      <c r="H12" s="299"/>
      <c r="I12" s="298">
        <f>SUM(I7:I11)</f>
        <v>0</v>
      </c>
      <c r="J12" s="299">
        <f>SUM(J7:J11)</f>
        <v>0</v>
      </c>
      <c r="K12" s="298">
        <f>SUM(K7:K11)</f>
        <v>23220765310</v>
      </c>
      <c r="L12" s="299"/>
      <c r="M12" s="298">
        <f>SUM(M7:M11)</f>
        <v>45266006300</v>
      </c>
      <c r="N12" s="299"/>
      <c r="O12" s="298">
        <f>SUM(O7:O11)</f>
        <v>0</v>
      </c>
      <c r="P12" s="299"/>
      <c r="Q12" s="298">
        <f>SUM(Q7:Q11)</f>
        <v>45266006300</v>
      </c>
      <c r="S12" s="283"/>
      <c r="T12" s="68"/>
      <c r="U12" s="152"/>
      <c r="V12" s="68"/>
      <c r="X12" s="270"/>
      <c r="AB12" s="282"/>
      <c r="AC12" s="68"/>
      <c r="AE12" s="68"/>
      <c r="AG12" s="270"/>
    </row>
    <row r="13" spans="1:33" ht="30.75" customHeight="1" thickTop="1">
      <c r="H13" s="67"/>
      <c r="J13" s="67"/>
      <c r="L13" s="67"/>
      <c r="P13" s="67"/>
    </row>
  </sheetData>
  <autoFilter ref="A6:Q11" xr:uid="{00000000-0009-0000-0000-000006000000}">
    <sortState xmlns:xlrd2="http://schemas.microsoft.com/office/spreadsheetml/2017/richdata2" ref="A7:Q11">
      <sortCondition descending="1" ref="A6:A11"/>
    </sortState>
  </autoFilter>
  <mergeCells count="7">
    <mergeCell ref="A1:Q1"/>
    <mergeCell ref="A2:Q2"/>
    <mergeCell ref="A3:Q3"/>
    <mergeCell ref="A4:G4"/>
    <mergeCell ref="B5:E5"/>
    <mergeCell ref="G5:K5"/>
    <mergeCell ref="M5:Q5"/>
  </mergeCells>
  <printOptions horizontalCentered="1"/>
  <pageMargins left="0" right="0" top="0" bottom="0" header="0.3" footer="0.3"/>
  <pageSetup paperSize="9"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4" tint="0.79998168889431442"/>
  </sheetPr>
  <dimension ref="A1:V53"/>
  <sheetViews>
    <sheetView rightToLeft="1" view="pageBreakPreview" zoomScale="70" zoomScaleNormal="100" zoomScaleSheetLayoutView="70" workbookViewId="0">
      <selection activeCell="N4" sqref="N1:N1048576"/>
    </sheetView>
  </sheetViews>
  <sheetFormatPr defaultColWidth="9.1328125" defaultRowHeight="30.75" customHeight="1"/>
  <cols>
    <col min="1" max="1" width="36.265625" style="111" customWidth="1"/>
    <col min="2" max="2" width="0.86328125" style="111" customWidth="1"/>
    <col min="3" max="3" width="1" style="111" customWidth="1"/>
    <col min="4" max="4" width="17.796875" style="73" bestFit="1" customWidth="1"/>
    <col min="5" max="5" width="0.86328125" style="73" customWidth="1"/>
    <col min="6" max="6" width="14.1328125" style="73" bestFit="1" customWidth="1"/>
    <col min="7" max="7" width="0.73046875" style="73" customWidth="1"/>
    <col min="8" max="8" width="15.265625" style="73" customWidth="1"/>
    <col min="9" max="9" width="0.73046875" style="73" customWidth="1"/>
    <col min="10" max="10" width="17.796875" style="73" bestFit="1" customWidth="1"/>
    <col min="11" max="11" width="0.59765625" style="73" customWidth="1"/>
    <col min="12" max="12" width="14.1328125" style="73" bestFit="1" customWidth="1"/>
    <col min="13" max="13" width="0.59765625" style="73" customWidth="1"/>
    <col min="14" max="14" width="20" style="73" bestFit="1" customWidth="1"/>
    <col min="15" max="15" width="25.1328125" style="66" hidden="1" customWidth="1"/>
    <col min="16" max="16" width="7" style="73" hidden="1" customWidth="1"/>
    <col min="17" max="17" width="9.265625" style="216" hidden="1" customWidth="1"/>
    <col min="18" max="18" width="2.73046875" style="216" hidden="1" customWidth="1"/>
    <col min="19" max="19" width="4.3984375" style="216" hidden="1" customWidth="1"/>
    <col min="20" max="20" width="12.86328125" style="216" hidden="1" customWidth="1"/>
    <col min="21" max="21" width="19.59765625" style="216" hidden="1" customWidth="1"/>
    <col min="22" max="22" width="14.59765625" style="66" hidden="1" customWidth="1"/>
    <col min="23" max="16384" width="9.1328125" style="111"/>
  </cols>
  <sheetData>
    <row r="1" spans="1:22" ht="30.75" customHeight="1">
      <c r="A1" s="339" t="s">
        <v>80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235"/>
      <c r="P1" s="231"/>
      <c r="Q1" s="300"/>
      <c r="R1" s="300"/>
      <c r="S1" s="300"/>
      <c r="T1" s="300"/>
      <c r="U1" s="300"/>
      <c r="V1" s="235"/>
    </row>
    <row r="2" spans="1:22" ht="30.75" customHeight="1">
      <c r="A2" s="339" t="s">
        <v>50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235"/>
      <c r="P2" s="231"/>
      <c r="Q2" s="300"/>
      <c r="R2" s="300"/>
      <c r="S2" s="300"/>
      <c r="T2" s="300"/>
      <c r="U2" s="300"/>
      <c r="V2" s="235"/>
    </row>
    <row r="3" spans="1:22" ht="30.75" customHeight="1">
      <c r="A3" s="339" t="str">
        <f>' سهام'!A3:W3</f>
        <v>برای ماه منتهی به 1403/11/30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235"/>
      <c r="P3" s="231"/>
      <c r="Q3" s="300"/>
      <c r="R3" s="300"/>
      <c r="S3" s="300"/>
      <c r="T3" s="300"/>
      <c r="U3" s="300"/>
      <c r="V3" s="235"/>
    </row>
    <row r="4" spans="1:22" ht="30.75" customHeight="1">
      <c r="A4" s="404" t="s">
        <v>154</v>
      </c>
      <c r="B4" s="404"/>
      <c r="C4" s="404"/>
      <c r="D4" s="404"/>
      <c r="E4" s="69"/>
      <c r="F4" s="70"/>
      <c r="G4" s="70"/>
      <c r="H4" s="70"/>
      <c r="I4" s="70"/>
      <c r="J4" s="70"/>
      <c r="K4" s="70"/>
      <c r="L4" s="67"/>
      <c r="M4" s="70"/>
      <c r="N4" s="70"/>
      <c r="P4" s="70"/>
    </row>
    <row r="5" spans="1:22" ht="30.75" customHeight="1" thickBot="1">
      <c r="A5" s="284"/>
      <c r="B5" s="285"/>
      <c r="C5" s="286"/>
      <c r="D5" s="406" t="s">
        <v>209</v>
      </c>
      <c r="E5" s="406"/>
      <c r="F5" s="406"/>
      <c r="G5" s="406"/>
      <c r="H5" s="406"/>
      <c r="I5" s="70"/>
      <c r="J5" s="406" t="s">
        <v>210</v>
      </c>
      <c r="K5" s="406"/>
      <c r="L5" s="406"/>
      <c r="M5" s="406"/>
      <c r="N5" s="406"/>
      <c r="O5" s="197"/>
      <c r="P5" s="196"/>
      <c r="Q5" s="217"/>
      <c r="R5" s="217"/>
      <c r="S5" s="217"/>
      <c r="T5" s="217"/>
      <c r="U5" s="217"/>
      <c r="V5" s="197"/>
    </row>
    <row r="6" spans="1:22" ht="42" customHeight="1" thickBot="1">
      <c r="A6" s="19" t="s">
        <v>32</v>
      </c>
      <c r="B6" s="232"/>
      <c r="C6" s="232"/>
      <c r="D6" s="71" t="s">
        <v>51</v>
      </c>
      <c r="E6" s="72"/>
      <c r="F6" s="71" t="s">
        <v>34</v>
      </c>
      <c r="G6" s="72"/>
      <c r="H6" s="71" t="s">
        <v>35</v>
      </c>
      <c r="I6" s="70"/>
      <c r="J6" s="71" t="s">
        <v>51</v>
      </c>
      <c r="K6" s="72"/>
      <c r="L6" s="71" t="s">
        <v>34</v>
      </c>
      <c r="M6" s="72"/>
      <c r="N6" s="71" t="s">
        <v>35</v>
      </c>
      <c r="O6" s="198"/>
      <c r="P6" s="182"/>
      <c r="Q6" s="218"/>
      <c r="R6" s="218"/>
      <c r="S6" s="218"/>
      <c r="T6" s="218"/>
      <c r="U6" s="218"/>
      <c r="V6" s="198"/>
    </row>
    <row r="7" spans="1:22" ht="17.45" customHeight="1">
      <c r="A7" s="263" t="s">
        <v>99</v>
      </c>
      <c r="B7" s="289"/>
      <c r="C7" s="99"/>
      <c r="D7" s="64">
        <v>2432</v>
      </c>
      <c r="E7" s="64"/>
      <c r="F7" s="64">
        <v>0</v>
      </c>
      <c r="G7" s="64"/>
      <c r="H7" s="64">
        <f>D7+F7</f>
        <v>2432</v>
      </c>
      <c r="I7" s="67"/>
      <c r="J7" s="64">
        <f t="shared" ref="J7:J51" si="0">F7+H7</f>
        <v>2432</v>
      </c>
      <c r="K7" s="64"/>
      <c r="L7" s="64">
        <v>0</v>
      </c>
      <c r="M7" s="64"/>
      <c r="N7" s="64">
        <f>J7+L7</f>
        <v>2432</v>
      </c>
      <c r="O7" s="301" t="str">
        <f t="shared" ref="O7:O39" si="1">A7</f>
        <v>ملی کوتاه مدت- 0228580617005</v>
      </c>
      <c r="P7" s="293">
        <v>0.05</v>
      </c>
      <c r="Q7" s="216">
        <v>2432</v>
      </c>
      <c r="S7" s="302">
        <v>0.05</v>
      </c>
      <c r="T7" s="303">
        <f>Q7*S7/P7</f>
        <v>2432</v>
      </c>
      <c r="U7" s="304">
        <f t="shared" ref="U7:U15" si="2">Q7-T7</f>
        <v>0</v>
      </c>
      <c r="V7" s="199"/>
    </row>
    <row r="8" spans="1:22" ht="17.45" customHeight="1">
      <c r="A8" s="263" t="s">
        <v>93</v>
      </c>
      <c r="B8" s="289"/>
      <c r="C8" s="99"/>
      <c r="D8" s="64">
        <v>0</v>
      </c>
      <c r="E8" s="64"/>
      <c r="F8" s="64">
        <v>0</v>
      </c>
      <c r="G8" s="64"/>
      <c r="H8" s="64">
        <f t="shared" ref="H8:H38" si="3">D8+F8</f>
        <v>0</v>
      </c>
      <c r="I8" s="67"/>
      <c r="J8" s="64">
        <f t="shared" si="0"/>
        <v>0</v>
      </c>
      <c r="K8" s="64"/>
      <c r="L8" s="64">
        <v>0</v>
      </c>
      <c r="M8" s="64"/>
      <c r="N8" s="64">
        <f t="shared" ref="N8:N51" si="4">J8+L8</f>
        <v>0</v>
      </c>
      <c r="O8" s="301" t="str">
        <f t="shared" si="1"/>
        <v>مسکن کوتاه مدت	-310058720239</v>
      </c>
      <c r="P8" s="293">
        <v>0.05</v>
      </c>
      <c r="Q8" s="216">
        <v>0</v>
      </c>
      <c r="S8" s="302">
        <v>0.05</v>
      </c>
      <c r="T8" s="303">
        <f t="shared" ref="T8:T15" si="5">Q8*S8/P8</f>
        <v>0</v>
      </c>
      <c r="U8" s="304">
        <f t="shared" si="2"/>
        <v>0</v>
      </c>
      <c r="V8" s="199"/>
    </row>
    <row r="9" spans="1:22" ht="17.45" customHeight="1">
      <c r="A9" s="263" t="s">
        <v>212</v>
      </c>
      <c r="B9" s="289"/>
      <c r="C9" s="99"/>
      <c r="D9" s="64">
        <v>1372122270</v>
      </c>
      <c r="E9" s="64"/>
      <c r="F9" s="64">
        <v>-6912078</v>
      </c>
      <c r="G9" s="64"/>
      <c r="H9" s="64">
        <f t="shared" si="3"/>
        <v>1365210192</v>
      </c>
      <c r="I9" s="67"/>
      <c r="J9" s="64">
        <f t="shared" si="0"/>
        <v>1358298114</v>
      </c>
      <c r="K9" s="64"/>
      <c r="L9" s="64">
        <v>-6912078</v>
      </c>
      <c r="M9" s="64"/>
      <c r="N9" s="64">
        <f t="shared" si="4"/>
        <v>1351386036</v>
      </c>
      <c r="O9" s="301" t="str">
        <f t="shared" si="1"/>
        <v>گردشگری بلندمدت 164.333.1772702.4</v>
      </c>
      <c r="P9" s="305">
        <v>0.30499999999999999</v>
      </c>
      <c r="Q9" s="216">
        <v>1372122270</v>
      </c>
      <c r="S9" s="306">
        <v>0.22500000000000001</v>
      </c>
      <c r="T9" s="303">
        <f t="shared" si="5"/>
        <v>1012221346.7213115</v>
      </c>
      <c r="U9" s="304">
        <f t="shared" si="2"/>
        <v>359900923.27868855</v>
      </c>
      <c r="V9" s="199"/>
    </row>
    <row r="10" spans="1:22" ht="17.45" customHeight="1">
      <c r="A10" s="263" t="s">
        <v>213</v>
      </c>
      <c r="B10" s="289"/>
      <c r="C10" s="99"/>
      <c r="D10" s="64">
        <v>1441662768</v>
      </c>
      <c r="E10" s="64"/>
      <c r="F10" s="64">
        <v>-6057076</v>
      </c>
      <c r="G10" s="64"/>
      <c r="H10" s="64">
        <f t="shared" si="3"/>
        <v>1435605692</v>
      </c>
      <c r="I10" s="67"/>
      <c r="J10" s="64">
        <f t="shared" si="0"/>
        <v>1429548616</v>
      </c>
      <c r="K10" s="64"/>
      <c r="L10" s="64">
        <v>-6057076</v>
      </c>
      <c r="M10" s="64"/>
      <c r="N10" s="64">
        <f t="shared" si="4"/>
        <v>1423491540</v>
      </c>
      <c r="O10" s="301" t="str">
        <f t="shared" si="1"/>
        <v>گردشگری بلندمدت 164.333.1772702.3</v>
      </c>
      <c r="P10" s="305">
        <v>0.30499999999999999</v>
      </c>
      <c r="Q10" s="216">
        <v>1441662768</v>
      </c>
      <c r="S10" s="306">
        <v>0.22500000000000001</v>
      </c>
      <c r="T10" s="303">
        <f t="shared" si="5"/>
        <v>1063521714.0983608</v>
      </c>
      <c r="U10" s="304">
        <f t="shared" si="2"/>
        <v>378141053.90163922</v>
      </c>
      <c r="V10" s="199"/>
    </row>
    <row r="11" spans="1:22" ht="17.45" customHeight="1">
      <c r="A11" s="263" t="s">
        <v>214</v>
      </c>
      <c r="B11" s="289"/>
      <c r="C11" s="99"/>
      <c r="D11" s="64">
        <v>1305099180</v>
      </c>
      <c r="E11" s="64"/>
      <c r="F11" s="64">
        <v>-1089652</v>
      </c>
      <c r="G11" s="64"/>
      <c r="H11" s="64">
        <f t="shared" si="3"/>
        <v>1304009528</v>
      </c>
      <c r="I11" s="67"/>
      <c r="J11" s="64">
        <f t="shared" si="0"/>
        <v>1302919876</v>
      </c>
      <c r="K11" s="64"/>
      <c r="L11" s="64">
        <v>-1089652</v>
      </c>
      <c r="M11" s="64"/>
      <c r="N11" s="64">
        <f t="shared" si="4"/>
        <v>1301830224</v>
      </c>
      <c r="O11" s="301" t="str">
        <f t="shared" si="1"/>
        <v>گردشگری بلندمدت 164.333.1772702.2</v>
      </c>
      <c r="P11" s="305">
        <v>0.30499999999999999</v>
      </c>
      <c r="Q11" s="216">
        <v>1305099180</v>
      </c>
      <c r="S11" s="306">
        <v>0.22500000000000001</v>
      </c>
      <c r="T11" s="303">
        <f t="shared" si="5"/>
        <v>962778083.60655737</v>
      </c>
      <c r="U11" s="304">
        <f t="shared" si="2"/>
        <v>342321096.39344263</v>
      </c>
      <c r="V11" s="199"/>
    </row>
    <row r="12" spans="1:22" ht="17.45" customHeight="1">
      <c r="A12" s="263" t="s">
        <v>173</v>
      </c>
      <c r="B12" s="289"/>
      <c r="C12" s="99"/>
      <c r="D12" s="64">
        <v>308242190</v>
      </c>
      <c r="E12" s="64"/>
      <c r="F12" s="64">
        <v>0</v>
      </c>
      <c r="G12" s="64"/>
      <c r="H12" s="64">
        <f t="shared" si="3"/>
        <v>308242190</v>
      </c>
      <c r="I12" s="67"/>
      <c r="J12" s="64">
        <f t="shared" si="0"/>
        <v>308242190</v>
      </c>
      <c r="K12" s="64"/>
      <c r="L12" s="64">
        <v>-193749</v>
      </c>
      <c r="M12" s="64"/>
      <c r="N12" s="64">
        <f t="shared" si="4"/>
        <v>308048441</v>
      </c>
      <c r="O12" s="301" t="str">
        <f t="shared" si="1"/>
        <v>گردشگری بلند مدت 164.333.1772702.1</v>
      </c>
      <c r="P12" s="305">
        <v>0.30499999999999999</v>
      </c>
      <c r="Q12" s="216">
        <v>308242190</v>
      </c>
      <c r="S12" s="306">
        <v>0.22500000000000001</v>
      </c>
      <c r="T12" s="303">
        <f t="shared" si="5"/>
        <v>227391779.50819671</v>
      </c>
      <c r="U12" s="304">
        <f t="shared" si="2"/>
        <v>80850410.491803288</v>
      </c>
      <c r="V12" s="199"/>
    </row>
    <row r="13" spans="1:22" ht="17.45" customHeight="1">
      <c r="A13" s="263" t="s">
        <v>198</v>
      </c>
      <c r="B13" s="289"/>
      <c r="C13" s="99"/>
      <c r="D13" s="64">
        <v>423435821</v>
      </c>
      <c r="E13" s="64"/>
      <c r="F13" s="64">
        <v>0</v>
      </c>
      <c r="G13" s="64"/>
      <c r="H13" s="64">
        <f t="shared" si="3"/>
        <v>423435821</v>
      </c>
      <c r="I13" s="67"/>
      <c r="J13" s="64">
        <f t="shared" si="0"/>
        <v>423435821</v>
      </c>
      <c r="K13" s="64"/>
      <c r="L13" s="64">
        <v>0</v>
      </c>
      <c r="M13" s="64"/>
      <c r="N13" s="64">
        <f t="shared" si="4"/>
        <v>423435821</v>
      </c>
      <c r="O13" s="301" t="str">
        <f t="shared" si="1"/>
        <v>شهر بلندمدت 7001004711013</v>
      </c>
      <c r="P13" s="305">
        <v>0.30499999999999999</v>
      </c>
      <c r="Q13" s="216">
        <v>423435821</v>
      </c>
      <c r="S13" s="306">
        <v>0.22500000000000001</v>
      </c>
      <c r="T13" s="303">
        <f t="shared" si="5"/>
        <v>312370687.62295085</v>
      </c>
      <c r="U13" s="304">
        <f t="shared" si="2"/>
        <v>111065133.37704915</v>
      </c>
      <c r="V13" s="199"/>
    </row>
    <row r="14" spans="1:22" s="99" customFormat="1" ht="17.45" customHeight="1">
      <c r="A14" s="263" t="s">
        <v>96</v>
      </c>
      <c r="B14" s="289"/>
      <c r="D14" s="64">
        <v>3650</v>
      </c>
      <c r="E14" s="64"/>
      <c r="F14" s="64">
        <v>0</v>
      </c>
      <c r="G14" s="64"/>
      <c r="H14" s="64">
        <f t="shared" si="3"/>
        <v>3650</v>
      </c>
      <c r="I14" s="67"/>
      <c r="J14" s="64">
        <f t="shared" si="0"/>
        <v>3650</v>
      </c>
      <c r="K14" s="64"/>
      <c r="L14" s="64">
        <v>0</v>
      </c>
      <c r="M14" s="64"/>
      <c r="N14" s="64">
        <f t="shared" si="4"/>
        <v>3650</v>
      </c>
      <c r="O14" s="301" t="str">
        <f t="shared" si="1"/>
        <v xml:space="preserve">سامان کوتاه مدت-86481039984291	</v>
      </c>
      <c r="P14" s="307">
        <v>0.3</v>
      </c>
      <c r="Q14" s="216">
        <v>3650</v>
      </c>
      <c r="R14" s="216"/>
      <c r="S14" s="306">
        <v>0.22500000000000001</v>
      </c>
      <c r="T14" s="303">
        <f t="shared" si="5"/>
        <v>2737.5</v>
      </c>
      <c r="U14" s="304">
        <f t="shared" si="2"/>
        <v>912.5</v>
      </c>
      <c r="V14" s="199">
        <v>311797942.03278702</v>
      </c>
    </row>
    <row r="15" spans="1:22" ht="17.45" customHeight="1">
      <c r="A15" s="263" t="s">
        <v>101</v>
      </c>
      <c r="B15" s="289"/>
      <c r="C15" s="99"/>
      <c r="D15" s="64">
        <v>1428</v>
      </c>
      <c r="E15" s="64"/>
      <c r="F15" s="64">
        <v>0</v>
      </c>
      <c r="G15" s="64"/>
      <c r="H15" s="64">
        <f t="shared" si="3"/>
        <v>1428</v>
      </c>
      <c r="I15" s="67"/>
      <c r="J15" s="64">
        <f t="shared" si="0"/>
        <v>1428</v>
      </c>
      <c r="K15" s="64"/>
      <c r="L15" s="64">
        <v>0</v>
      </c>
      <c r="M15" s="64"/>
      <c r="N15" s="64">
        <f t="shared" si="4"/>
        <v>1428</v>
      </c>
      <c r="O15" s="301" t="str">
        <f t="shared" si="1"/>
        <v>رفاه کوتاه مدت 359490219</v>
      </c>
      <c r="P15" s="293">
        <v>0.05</v>
      </c>
      <c r="Q15" s="216">
        <v>1428</v>
      </c>
      <c r="S15" s="306">
        <v>0.22500000000000001</v>
      </c>
      <c r="T15" s="303">
        <f t="shared" si="5"/>
        <v>6426</v>
      </c>
      <c r="U15" s="304">
        <f t="shared" si="2"/>
        <v>-4998</v>
      </c>
      <c r="V15" s="199">
        <f>SUM(U9:U14)</f>
        <v>1272279529.9426229</v>
      </c>
    </row>
    <row r="16" spans="1:22" s="99" customFormat="1" ht="17.45" customHeight="1">
      <c r="A16" s="263" t="s">
        <v>218</v>
      </c>
      <c r="B16" s="289"/>
      <c r="D16" s="64">
        <v>355466660</v>
      </c>
      <c r="E16" s="64"/>
      <c r="F16" s="64">
        <v>0</v>
      </c>
      <c r="G16" s="64"/>
      <c r="H16" s="64">
        <f t="shared" si="3"/>
        <v>355466660</v>
      </c>
      <c r="I16" s="67"/>
      <c r="J16" s="64">
        <f t="shared" si="0"/>
        <v>355466660</v>
      </c>
      <c r="K16" s="64"/>
      <c r="L16" s="64">
        <v>0</v>
      </c>
      <c r="M16" s="64"/>
      <c r="N16" s="64">
        <f t="shared" si="4"/>
        <v>355466660</v>
      </c>
      <c r="O16" s="301" t="str">
        <f t="shared" si="1"/>
        <v>تجارت بلندمدت 0479604709489</v>
      </c>
      <c r="P16" s="305">
        <v>0.30499999999999999</v>
      </c>
      <c r="Q16" s="219">
        <v>355466660</v>
      </c>
      <c r="R16" s="219"/>
      <c r="S16" s="306">
        <v>0.22500000000000001</v>
      </c>
      <c r="T16" s="303">
        <f>Q16*S16/P16</f>
        <v>262229503.27868852</v>
      </c>
      <c r="U16" s="304">
        <f t="shared" ref="U16:U38" si="6">Q16-T16</f>
        <v>93237156.72131148</v>
      </c>
      <c r="V16" s="199"/>
    </row>
    <row r="17" spans="1:22" s="99" customFormat="1" ht="17.45" customHeight="1">
      <c r="A17" s="263" t="s">
        <v>199</v>
      </c>
      <c r="B17" s="289"/>
      <c r="D17" s="64">
        <v>412260157</v>
      </c>
      <c r="E17" s="64"/>
      <c r="F17" s="64">
        <v>0</v>
      </c>
      <c r="G17" s="64"/>
      <c r="H17" s="64">
        <f t="shared" si="3"/>
        <v>412260157</v>
      </c>
      <c r="I17" s="67"/>
      <c r="J17" s="64">
        <f t="shared" si="0"/>
        <v>412260157</v>
      </c>
      <c r="K17" s="64"/>
      <c r="L17" s="64">
        <v>0</v>
      </c>
      <c r="M17" s="64"/>
      <c r="N17" s="64">
        <f t="shared" si="4"/>
        <v>412260157</v>
      </c>
      <c r="O17" s="301" t="str">
        <f t="shared" si="1"/>
        <v>تجارت بلندمدت 0479604482557</v>
      </c>
      <c r="P17" s="305">
        <v>0.30499999999999999</v>
      </c>
      <c r="Q17" s="219">
        <v>412260157</v>
      </c>
      <c r="R17" s="219"/>
      <c r="S17" s="306">
        <v>0.22500000000000001</v>
      </c>
      <c r="T17" s="303">
        <f>Q17*S17/P17</f>
        <v>304126345.32786888</v>
      </c>
      <c r="U17" s="304">
        <f t="shared" si="6"/>
        <v>108133811.67213112</v>
      </c>
      <c r="V17" s="199"/>
    </row>
    <row r="18" spans="1:22" s="99" customFormat="1" ht="17.45" customHeight="1">
      <c r="A18" s="263" t="s">
        <v>200</v>
      </c>
      <c r="B18" s="289"/>
      <c r="D18" s="64">
        <v>568584476</v>
      </c>
      <c r="E18" s="64"/>
      <c r="F18" s="64">
        <v>0</v>
      </c>
      <c r="G18" s="64"/>
      <c r="H18" s="64">
        <f t="shared" si="3"/>
        <v>568584476</v>
      </c>
      <c r="I18" s="67"/>
      <c r="J18" s="64">
        <f t="shared" si="0"/>
        <v>568584476</v>
      </c>
      <c r="K18" s="64"/>
      <c r="L18" s="64">
        <v>0</v>
      </c>
      <c r="M18" s="64"/>
      <c r="N18" s="64">
        <f t="shared" si="4"/>
        <v>568584476</v>
      </c>
      <c r="O18" s="301" t="str">
        <f t="shared" si="1"/>
        <v>تجارت بلندمدت 0479604464102</v>
      </c>
      <c r="P18" s="305">
        <v>0.30499999999999999</v>
      </c>
      <c r="Q18" s="219">
        <v>568584476</v>
      </c>
      <c r="R18" s="219"/>
      <c r="S18" s="302">
        <v>0.05</v>
      </c>
      <c r="T18" s="303">
        <f t="shared" ref="T18:T38" si="7">Q18*S18/P18</f>
        <v>93210569.836065575</v>
      </c>
      <c r="U18" s="304">
        <f t="shared" si="6"/>
        <v>475373906.16393441</v>
      </c>
      <c r="V18" s="199"/>
    </row>
    <row r="19" spans="1:22" s="99" customFormat="1" ht="17.45" customHeight="1">
      <c r="A19" s="263" t="s">
        <v>219</v>
      </c>
      <c r="B19" s="289"/>
      <c r="D19" s="64">
        <v>66849316</v>
      </c>
      <c r="E19" s="64"/>
      <c r="F19" s="64">
        <v>-1474953</v>
      </c>
      <c r="G19" s="64"/>
      <c r="H19" s="64">
        <f t="shared" si="3"/>
        <v>65374363</v>
      </c>
      <c r="I19" s="67"/>
      <c r="J19" s="64">
        <f t="shared" si="0"/>
        <v>63899410</v>
      </c>
      <c r="K19" s="64"/>
      <c r="L19" s="64">
        <v>-1474953</v>
      </c>
      <c r="M19" s="64"/>
      <c r="N19" s="64">
        <f t="shared" si="4"/>
        <v>62424457</v>
      </c>
      <c r="O19" s="301" t="str">
        <f t="shared" si="1"/>
        <v>پاسارگاد بلندمدت 209304152272683</v>
      </c>
      <c r="P19" s="305">
        <v>0.30499999999999999</v>
      </c>
      <c r="Q19" s="219">
        <v>66849316</v>
      </c>
      <c r="R19" s="219"/>
      <c r="S19" s="302">
        <v>0.05</v>
      </c>
      <c r="T19" s="303">
        <f t="shared" si="7"/>
        <v>10958904.262295082</v>
      </c>
      <c r="U19" s="304">
        <f t="shared" si="6"/>
        <v>55890411.737704918</v>
      </c>
      <c r="V19" s="199"/>
    </row>
    <row r="20" spans="1:22" ht="17.45" customHeight="1">
      <c r="A20" s="263" t="s">
        <v>220</v>
      </c>
      <c r="B20" s="289"/>
      <c r="C20" s="99"/>
      <c r="D20" s="64">
        <v>256096432</v>
      </c>
      <c r="E20" s="64"/>
      <c r="F20" s="64">
        <v>-2707444</v>
      </c>
      <c r="G20" s="64"/>
      <c r="H20" s="64">
        <f t="shared" si="3"/>
        <v>253388988</v>
      </c>
      <c r="I20" s="67"/>
      <c r="J20" s="64">
        <f t="shared" si="0"/>
        <v>250681544</v>
      </c>
      <c r="K20" s="64"/>
      <c r="L20" s="64">
        <v>-2707444</v>
      </c>
      <c r="M20" s="64"/>
      <c r="N20" s="64">
        <f t="shared" si="4"/>
        <v>247974100</v>
      </c>
      <c r="O20" s="301" t="str">
        <f t="shared" si="1"/>
        <v>پاسارگاد بلندمدت 209304152272682</v>
      </c>
      <c r="P20" s="305">
        <v>0.30499999999999999</v>
      </c>
      <c r="Q20" s="216">
        <v>256096432</v>
      </c>
      <c r="S20" s="302">
        <v>0.05</v>
      </c>
      <c r="T20" s="303">
        <f t="shared" si="7"/>
        <v>41983021.639344268</v>
      </c>
      <c r="U20" s="304">
        <f t="shared" si="6"/>
        <v>214113410.36065573</v>
      </c>
      <c r="V20" s="199"/>
    </row>
    <row r="21" spans="1:22" s="99" customFormat="1" ht="17.45" customHeight="1">
      <c r="A21" s="263" t="s">
        <v>221</v>
      </c>
      <c r="B21" s="289"/>
      <c r="D21" s="64">
        <v>232735888</v>
      </c>
      <c r="E21" s="64"/>
      <c r="F21" s="64">
        <v>-1331368</v>
      </c>
      <c r="G21" s="64"/>
      <c r="H21" s="64">
        <f t="shared" si="3"/>
        <v>231404520</v>
      </c>
      <c r="I21" s="67"/>
      <c r="J21" s="64">
        <f t="shared" si="0"/>
        <v>230073152</v>
      </c>
      <c r="K21" s="64"/>
      <c r="L21" s="64">
        <v>-1331368</v>
      </c>
      <c r="M21" s="64"/>
      <c r="N21" s="64">
        <f t="shared" si="4"/>
        <v>228741784</v>
      </c>
      <c r="O21" s="301" t="str">
        <f t="shared" si="1"/>
        <v>پاسارگاد بلندمدت 209304152272681</v>
      </c>
      <c r="P21" s="305">
        <v>0.30499999999999999</v>
      </c>
      <c r="Q21" s="216">
        <v>232735888</v>
      </c>
      <c r="R21" s="216"/>
      <c r="S21" s="302">
        <v>0.05</v>
      </c>
      <c r="T21" s="303">
        <f t="shared" si="7"/>
        <v>38153424.262295082</v>
      </c>
      <c r="U21" s="304">
        <f t="shared" si="6"/>
        <v>194582463.73770493</v>
      </c>
      <c r="V21" s="199"/>
    </row>
    <row r="22" spans="1:22" ht="17.45" customHeight="1">
      <c r="A22" s="263" t="s">
        <v>170</v>
      </c>
      <c r="B22" s="289"/>
      <c r="C22" s="99"/>
      <c r="D22" s="64">
        <v>0</v>
      </c>
      <c r="E22" s="64"/>
      <c r="F22" s="64">
        <v>0</v>
      </c>
      <c r="G22" s="64"/>
      <c r="H22" s="64">
        <f t="shared" si="3"/>
        <v>0</v>
      </c>
      <c r="I22" s="67"/>
      <c r="J22" s="64">
        <f t="shared" si="0"/>
        <v>0</v>
      </c>
      <c r="K22" s="64"/>
      <c r="L22" s="64">
        <v>0</v>
      </c>
      <c r="M22" s="64"/>
      <c r="N22" s="64">
        <f t="shared" si="4"/>
        <v>0</v>
      </c>
      <c r="O22" s="301" t="str">
        <f t="shared" si="1"/>
        <v>پاسارگاد 209303152272683</v>
      </c>
      <c r="P22" s="305">
        <v>0.30499999999999999</v>
      </c>
      <c r="Q22" s="216">
        <v>0</v>
      </c>
      <c r="S22" s="306">
        <v>0.22500000000000001</v>
      </c>
      <c r="T22" s="303">
        <f t="shared" si="7"/>
        <v>0</v>
      </c>
      <c r="U22" s="304">
        <f t="shared" si="6"/>
        <v>0</v>
      </c>
      <c r="V22" s="199"/>
    </row>
    <row r="23" spans="1:22" s="99" customFormat="1" ht="17.45" customHeight="1">
      <c r="A23" s="263" t="s">
        <v>108</v>
      </c>
      <c r="B23" s="289"/>
      <c r="D23" s="64">
        <v>5494</v>
      </c>
      <c r="E23" s="64"/>
      <c r="F23" s="64">
        <v>0</v>
      </c>
      <c r="G23" s="64"/>
      <c r="H23" s="64">
        <f t="shared" si="3"/>
        <v>5494</v>
      </c>
      <c r="I23" s="67"/>
      <c r="J23" s="64">
        <f t="shared" si="0"/>
        <v>5494</v>
      </c>
      <c r="K23" s="64"/>
      <c r="L23" s="64">
        <v>0</v>
      </c>
      <c r="M23" s="64"/>
      <c r="N23" s="64">
        <f t="shared" si="4"/>
        <v>5494</v>
      </c>
      <c r="O23" s="301" t="str">
        <f t="shared" si="1"/>
        <v>بانک شهر کوتاه مدت 7001003242019</v>
      </c>
      <c r="P23" s="305">
        <v>0.22500000000000001</v>
      </c>
      <c r="Q23" s="216">
        <v>5494</v>
      </c>
      <c r="R23" s="216"/>
      <c r="S23" s="306">
        <v>0.22500000000000001</v>
      </c>
      <c r="T23" s="303">
        <f t="shared" si="7"/>
        <v>5494</v>
      </c>
      <c r="U23" s="304">
        <f t="shared" si="6"/>
        <v>0</v>
      </c>
      <c r="V23" s="199"/>
    </row>
    <row r="24" spans="1:22" s="99" customFormat="1" ht="17.45" customHeight="1">
      <c r="A24" s="263" t="s">
        <v>115</v>
      </c>
      <c r="B24" s="289"/>
      <c r="D24" s="64">
        <v>146606293</v>
      </c>
      <c r="E24" s="64"/>
      <c r="F24" s="64">
        <v>0</v>
      </c>
      <c r="G24" s="64"/>
      <c r="H24" s="64">
        <f t="shared" si="3"/>
        <v>146606293</v>
      </c>
      <c r="I24" s="67"/>
      <c r="J24" s="64">
        <f t="shared" si="0"/>
        <v>146606293</v>
      </c>
      <c r="K24" s="64"/>
      <c r="L24" s="64">
        <v>0</v>
      </c>
      <c r="M24" s="64"/>
      <c r="N24" s="64">
        <f t="shared" si="4"/>
        <v>146606293</v>
      </c>
      <c r="O24" s="301" t="str">
        <f t="shared" si="1"/>
        <v>بانک شهر ۷۰۰۱۰۰۳۶۳۱۸۷۲</v>
      </c>
      <c r="P24" s="305">
        <v>0.22500000000000001</v>
      </c>
      <c r="Q24" s="216">
        <v>146606293</v>
      </c>
      <c r="R24" s="216"/>
      <c r="S24" s="306">
        <v>0.22500000000000001</v>
      </c>
      <c r="T24" s="303">
        <f t="shared" si="7"/>
        <v>146606293</v>
      </c>
      <c r="U24" s="304">
        <f t="shared" si="6"/>
        <v>0</v>
      </c>
      <c r="V24" s="199"/>
    </row>
    <row r="25" spans="1:22" s="99" customFormat="1" ht="17.45" customHeight="1">
      <c r="A25" s="263" t="s">
        <v>159</v>
      </c>
      <c r="B25" s="289"/>
      <c r="D25" s="64">
        <v>29916357</v>
      </c>
      <c r="E25" s="64"/>
      <c r="F25" s="64">
        <v>0</v>
      </c>
      <c r="G25" s="64"/>
      <c r="H25" s="64">
        <f t="shared" si="3"/>
        <v>29916357</v>
      </c>
      <c r="I25" s="67"/>
      <c r="J25" s="64">
        <f t="shared" si="0"/>
        <v>29916357</v>
      </c>
      <c r="K25" s="64"/>
      <c r="L25" s="64">
        <v>0</v>
      </c>
      <c r="M25" s="64"/>
      <c r="N25" s="64">
        <f t="shared" si="4"/>
        <v>29916357</v>
      </c>
      <c r="O25" s="301" t="str">
        <f t="shared" si="1"/>
        <v>بانک شهر 7001004144961</v>
      </c>
      <c r="P25" s="305">
        <v>0.22500000000000001</v>
      </c>
      <c r="Q25" s="216">
        <v>29916357</v>
      </c>
      <c r="R25" s="216"/>
      <c r="S25" s="306">
        <v>0.22500000000000001</v>
      </c>
      <c r="T25" s="303">
        <f t="shared" si="7"/>
        <v>29916357</v>
      </c>
      <c r="U25" s="304">
        <f t="shared" si="6"/>
        <v>0</v>
      </c>
      <c r="V25" s="199"/>
    </row>
    <row r="26" spans="1:22" s="99" customFormat="1" ht="17.45" customHeight="1">
      <c r="A26" s="263" t="s">
        <v>160</v>
      </c>
      <c r="B26" s="289"/>
      <c r="D26" s="64">
        <v>30162341</v>
      </c>
      <c r="E26" s="64"/>
      <c r="F26" s="64">
        <v>0</v>
      </c>
      <c r="G26" s="64"/>
      <c r="H26" s="64">
        <f t="shared" si="3"/>
        <v>30162341</v>
      </c>
      <c r="I26" s="67"/>
      <c r="J26" s="64">
        <f t="shared" si="0"/>
        <v>30162341</v>
      </c>
      <c r="K26" s="64"/>
      <c r="L26" s="64">
        <v>0</v>
      </c>
      <c r="M26" s="64"/>
      <c r="N26" s="64">
        <f t="shared" si="4"/>
        <v>30162341</v>
      </c>
      <c r="O26" s="301" t="str">
        <f t="shared" si="1"/>
        <v xml:space="preserve">بانک شهر 7001004144875 </v>
      </c>
      <c r="P26" s="305">
        <v>0.22500000000000001</v>
      </c>
      <c r="Q26" s="216">
        <v>30162341</v>
      </c>
      <c r="R26" s="216"/>
      <c r="S26" s="306">
        <v>0.22500000000000001</v>
      </c>
      <c r="T26" s="303">
        <f t="shared" si="7"/>
        <v>30162341</v>
      </c>
      <c r="U26" s="304">
        <f t="shared" si="6"/>
        <v>0</v>
      </c>
      <c r="V26" s="199"/>
    </row>
    <row r="27" spans="1:22" s="99" customFormat="1" ht="17.45" customHeight="1">
      <c r="A27" s="263" t="s">
        <v>161</v>
      </c>
      <c r="B27" s="289"/>
      <c r="D27" s="64">
        <v>362310404</v>
      </c>
      <c r="E27" s="64"/>
      <c r="F27" s="64">
        <v>0</v>
      </c>
      <c r="G27" s="64"/>
      <c r="H27" s="64">
        <f t="shared" si="3"/>
        <v>362310404</v>
      </c>
      <c r="I27" s="67"/>
      <c r="J27" s="64">
        <f t="shared" si="0"/>
        <v>362310404</v>
      </c>
      <c r="K27" s="64"/>
      <c r="L27" s="64">
        <v>0</v>
      </c>
      <c r="M27" s="64"/>
      <c r="N27" s="64">
        <f t="shared" si="4"/>
        <v>362310404</v>
      </c>
      <c r="O27" s="301" t="str">
        <f t="shared" si="1"/>
        <v>بانک شهر 7001004144835</v>
      </c>
      <c r="P27" s="293">
        <v>0.05</v>
      </c>
      <c r="Q27" s="216">
        <v>362310404</v>
      </c>
      <c r="R27" s="216"/>
      <c r="S27" s="306">
        <v>0.22500000000000001</v>
      </c>
      <c r="T27" s="303">
        <f t="shared" si="7"/>
        <v>1630396818</v>
      </c>
      <c r="U27" s="304">
        <f t="shared" si="6"/>
        <v>-1268086414</v>
      </c>
      <c r="V27" s="199"/>
    </row>
    <row r="28" spans="1:22" s="99" customFormat="1" ht="17.45" customHeight="1">
      <c r="A28" s="263" t="s">
        <v>162</v>
      </c>
      <c r="B28" s="232"/>
      <c r="C28" s="232"/>
      <c r="D28" s="64">
        <v>755759589</v>
      </c>
      <c r="E28" s="64"/>
      <c r="F28" s="64">
        <v>0</v>
      </c>
      <c r="G28" s="64"/>
      <c r="H28" s="64">
        <f t="shared" si="3"/>
        <v>755759589</v>
      </c>
      <c r="I28" s="70"/>
      <c r="J28" s="64">
        <f t="shared" si="0"/>
        <v>755759589</v>
      </c>
      <c r="K28" s="201"/>
      <c r="L28" s="64">
        <v>0</v>
      </c>
      <c r="M28" s="201"/>
      <c r="N28" s="64">
        <f t="shared" si="4"/>
        <v>755759589</v>
      </c>
      <c r="O28" s="301" t="str">
        <f t="shared" si="1"/>
        <v>بانک شهر 7001004144834</v>
      </c>
      <c r="P28" s="292">
        <v>0.3</v>
      </c>
      <c r="Q28" s="216">
        <v>755759589</v>
      </c>
      <c r="R28" s="216"/>
      <c r="S28" s="306">
        <v>0.22500000000000001</v>
      </c>
      <c r="T28" s="303">
        <f t="shared" si="7"/>
        <v>566819691.75</v>
      </c>
      <c r="U28" s="304">
        <f t="shared" si="6"/>
        <v>188939897.25</v>
      </c>
      <c r="V28" s="199"/>
    </row>
    <row r="29" spans="1:22" s="99" customFormat="1" ht="17.45" customHeight="1">
      <c r="A29" s="263" t="s">
        <v>122</v>
      </c>
      <c r="B29" s="289"/>
      <c r="D29" s="64">
        <v>6804854</v>
      </c>
      <c r="E29" s="64"/>
      <c r="F29" s="64">
        <v>0</v>
      </c>
      <c r="G29" s="64"/>
      <c r="H29" s="64">
        <f t="shared" si="3"/>
        <v>6804854</v>
      </c>
      <c r="I29" s="67"/>
      <c r="J29" s="64">
        <f t="shared" si="0"/>
        <v>6804854</v>
      </c>
      <c r="K29" s="64"/>
      <c r="L29" s="64">
        <v>0</v>
      </c>
      <c r="M29" s="64"/>
      <c r="N29" s="64">
        <f t="shared" si="4"/>
        <v>6804854</v>
      </c>
      <c r="O29" s="301" t="str">
        <f t="shared" si="1"/>
        <v>بانک شهر 7001003694364</v>
      </c>
      <c r="P29" s="305">
        <v>0.30499999999999999</v>
      </c>
      <c r="Q29" s="216">
        <v>6804854</v>
      </c>
      <c r="R29" s="216"/>
      <c r="S29" s="306">
        <v>0.22500000000000001</v>
      </c>
      <c r="T29" s="303">
        <f t="shared" si="7"/>
        <v>5019974.2622950822</v>
      </c>
      <c r="U29" s="304">
        <f t="shared" si="6"/>
        <v>1784879.7377049178</v>
      </c>
      <c r="V29" s="199">
        <v>197457535.47541001</v>
      </c>
    </row>
    <row r="30" spans="1:22" s="99" customFormat="1" ht="17.45" customHeight="1">
      <c r="A30" s="263" t="s">
        <v>114</v>
      </c>
      <c r="B30" s="289"/>
      <c r="D30" s="64">
        <v>806842597</v>
      </c>
      <c r="E30" s="64"/>
      <c r="F30" s="64">
        <v>0</v>
      </c>
      <c r="G30" s="64"/>
      <c r="H30" s="64">
        <f t="shared" si="3"/>
        <v>806842597</v>
      </c>
      <c r="I30" s="67"/>
      <c r="J30" s="64">
        <f t="shared" si="0"/>
        <v>806842597</v>
      </c>
      <c r="K30" s="64"/>
      <c r="L30" s="64">
        <v>0</v>
      </c>
      <c r="M30" s="64"/>
      <c r="N30" s="64">
        <f t="shared" si="4"/>
        <v>806842597</v>
      </c>
      <c r="O30" s="301" t="str">
        <f t="shared" si="1"/>
        <v>بانک شهر 7001003556987</v>
      </c>
      <c r="P30" s="305">
        <v>0.30499999999999999</v>
      </c>
      <c r="Q30" s="216">
        <v>806842597</v>
      </c>
      <c r="R30" s="216"/>
      <c r="S30" s="306">
        <v>0.22500000000000001</v>
      </c>
      <c r="T30" s="303">
        <f t="shared" si="7"/>
        <v>595211751.88524592</v>
      </c>
      <c r="U30" s="304">
        <f t="shared" si="6"/>
        <v>211630845.11475408</v>
      </c>
      <c r="V30" s="199">
        <f>SUM(U29:U30)</f>
        <v>213415724.85245901</v>
      </c>
    </row>
    <row r="31" spans="1:22" s="99" customFormat="1" ht="17.45" customHeight="1">
      <c r="A31" s="263" t="s">
        <v>113</v>
      </c>
      <c r="B31" s="232"/>
      <c r="C31" s="232"/>
      <c r="D31" s="64">
        <v>29208076</v>
      </c>
      <c r="E31" s="64"/>
      <c r="F31" s="64">
        <v>0</v>
      </c>
      <c r="G31" s="64"/>
      <c r="H31" s="64">
        <f t="shared" si="3"/>
        <v>29208076</v>
      </c>
      <c r="I31" s="70"/>
      <c r="J31" s="64">
        <f t="shared" si="0"/>
        <v>29208076</v>
      </c>
      <c r="K31" s="201"/>
      <c r="L31" s="64">
        <v>0</v>
      </c>
      <c r="M31" s="201"/>
      <c r="N31" s="64">
        <f t="shared" si="4"/>
        <v>29208076</v>
      </c>
      <c r="O31" s="301" t="str">
        <f t="shared" si="1"/>
        <v>بانک شهر 7001003527830</v>
      </c>
      <c r="P31" s="307">
        <v>0.05</v>
      </c>
      <c r="Q31" s="219">
        <v>29208076</v>
      </c>
      <c r="R31" s="219"/>
      <c r="S31" s="302">
        <v>0.05</v>
      </c>
      <c r="T31" s="303">
        <f>Q31*S31/P31</f>
        <v>29208076</v>
      </c>
      <c r="U31" s="304">
        <f>Q31-T31</f>
        <v>0</v>
      </c>
      <c r="V31" s="199"/>
    </row>
    <row r="32" spans="1:22" s="99" customFormat="1" ht="17.45" customHeight="1">
      <c r="A32" s="263" t="s">
        <v>111</v>
      </c>
      <c r="B32" s="232"/>
      <c r="C32" s="232"/>
      <c r="D32" s="64">
        <v>17907522</v>
      </c>
      <c r="E32" s="64"/>
      <c r="F32" s="64">
        <v>0</v>
      </c>
      <c r="G32" s="64"/>
      <c r="H32" s="64">
        <f t="shared" si="3"/>
        <v>17907522</v>
      </c>
      <c r="I32" s="70"/>
      <c r="J32" s="64">
        <f t="shared" si="0"/>
        <v>17907522</v>
      </c>
      <c r="K32" s="201"/>
      <c r="L32" s="64">
        <v>0</v>
      </c>
      <c r="M32" s="201"/>
      <c r="N32" s="64">
        <f t="shared" si="4"/>
        <v>17907522</v>
      </c>
      <c r="O32" s="301" t="str">
        <f t="shared" si="1"/>
        <v>بانک شهر 7001003400925</v>
      </c>
      <c r="P32" s="293">
        <v>0.05</v>
      </c>
      <c r="Q32" s="216">
        <v>17907522</v>
      </c>
      <c r="R32" s="216"/>
      <c r="S32" s="306">
        <v>0.22500000000000001</v>
      </c>
      <c r="T32" s="303">
        <f t="shared" si="7"/>
        <v>80583849</v>
      </c>
      <c r="U32" s="304">
        <f t="shared" si="6"/>
        <v>-62676327</v>
      </c>
      <c r="V32" s="199"/>
    </row>
    <row r="33" spans="1:22" s="99" customFormat="1" ht="17.45" customHeight="1">
      <c r="A33" s="263" t="s">
        <v>112</v>
      </c>
      <c r="B33" s="232"/>
      <c r="C33" s="232"/>
      <c r="D33" s="64">
        <v>3801579</v>
      </c>
      <c r="E33" s="64"/>
      <c r="F33" s="64">
        <v>0</v>
      </c>
      <c r="G33" s="64"/>
      <c r="H33" s="64">
        <f t="shared" si="3"/>
        <v>3801579</v>
      </c>
      <c r="I33" s="70"/>
      <c r="J33" s="64">
        <f t="shared" si="0"/>
        <v>3801579</v>
      </c>
      <c r="K33" s="201"/>
      <c r="L33" s="64">
        <v>0</v>
      </c>
      <c r="M33" s="201"/>
      <c r="N33" s="64">
        <f t="shared" si="4"/>
        <v>3801579</v>
      </c>
      <c r="O33" s="301" t="str">
        <f t="shared" si="1"/>
        <v>بانک شهر 7001003374935</v>
      </c>
      <c r="P33" s="305">
        <v>0.22500000000000001</v>
      </c>
      <c r="Q33" s="216">
        <v>3801579</v>
      </c>
      <c r="R33" s="216"/>
      <c r="S33" s="306">
        <v>0.22500000000000001</v>
      </c>
      <c r="T33" s="303">
        <f t="shared" si="7"/>
        <v>3801579</v>
      </c>
      <c r="U33" s="304">
        <f t="shared" si="6"/>
        <v>0</v>
      </c>
      <c r="V33" s="199"/>
    </row>
    <row r="34" spans="1:22" s="99" customFormat="1" ht="17.45" customHeight="1">
      <c r="A34" s="263" t="s">
        <v>110</v>
      </c>
      <c r="B34" s="232"/>
      <c r="C34" s="232"/>
      <c r="D34" s="64">
        <v>14960344</v>
      </c>
      <c r="E34" s="64"/>
      <c r="F34" s="64">
        <v>0</v>
      </c>
      <c r="G34" s="64"/>
      <c r="H34" s="64">
        <f t="shared" si="3"/>
        <v>14960344</v>
      </c>
      <c r="I34" s="70"/>
      <c r="J34" s="64">
        <f t="shared" si="0"/>
        <v>14960344</v>
      </c>
      <c r="K34" s="201"/>
      <c r="L34" s="64">
        <v>0</v>
      </c>
      <c r="M34" s="201"/>
      <c r="N34" s="64">
        <f t="shared" si="4"/>
        <v>14960344</v>
      </c>
      <c r="O34" s="301" t="str">
        <f t="shared" si="1"/>
        <v>بانک شهر 7001003374403</v>
      </c>
      <c r="P34" s="293">
        <v>0.05</v>
      </c>
      <c r="Q34" s="216">
        <v>14960344</v>
      </c>
      <c r="R34" s="216"/>
      <c r="S34" s="306">
        <v>0.22500000000000001</v>
      </c>
      <c r="T34" s="303">
        <f t="shared" si="7"/>
        <v>67321548</v>
      </c>
      <c r="U34" s="304">
        <f>Q34-T34</f>
        <v>-52361204</v>
      </c>
      <c r="V34" s="199"/>
    </row>
    <row r="35" spans="1:22" s="99" customFormat="1" ht="17.45" customHeight="1">
      <c r="A35" s="263" t="s">
        <v>123</v>
      </c>
      <c r="B35" s="232"/>
      <c r="C35" s="232"/>
      <c r="D35" s="64">
        <v>0</v>
      </c>
      <c r="E35" s="64"/>
      <c r="F35" s="64">
        <v>0</v>
      </c>
      <c r="G35" s="64"/>
      <c r="H35" s="64">
        <f t="shared" si="3"/>
        <v>0</v>
      </c>
      <c r="I35" s="70"/>
      <c r="J35" s="64">
        <f t="shared" si="0"/>
        <v>0</v>
      </c>
      <c r="K35" s="201"/>
      <c r="L35" s="64">
        <v>0</v>
      </c>
      <c r="M35" s="201"/>
      <c r="N35" s="64">
        <f t="shared" si="4"/>
        <v>0</v>
      </c>
      <c r="O35" s="301" t="str">
        <f t="shared" si="1"/>
        <v>بانک سامان کوتاه مدت 1-3998429-810-830</v>
      </c>
      <c r="P35" s="292">
        <v>0.30499999999999999</v>
      </c>
      <c r="Q35" s="216">
        <v>0</v>
      </c>
      <c r="R35" s="216"/>
      <c r="S35" s="306">
        <v>0.22500000000000001</v>
      </c>
      <c r="T35" s="303">
        <f t="shared" ref="T35:T36" si="8">Q35*S35/P35</f>
        <v>0</v>
      </c>
      <c r="U35" s="304">
        <f>Q35-T35</f>
        <v>0</v>
      </c>
      <c r="V35" s="199"/>
    </row>
    <row r="36" spans="1:22" s="99" customFormat="1" ht="17.45" customHeight="1">
      <c r="A36" s="263" t="s">
        <v>109</v>
      </c>
      <c r="B36" s="232"/>
      <c r="C36" s="232"/>
      <c r="D36" s="64">
        <v>0</v>
      </c>
      <c r="E36" s="64"/>
      <c r="F36" s="64">
        <v>0</v>
      </c>
      <c r="G36" s="64"/>
      <c r="H36" s="64">
        <f t="shared" si="3"/>
        <v>0</v>
      </c>
      <c r="I36" s="70"/>
      <c r="J36" s="64">
        <f t="shared" si="0"/>
        <v>0</v>
      </c>
      <c r="K36" s="201"/>
      <c r="L36" s="64">
        <v>0</v>
      </c>
      <c r="M36" s="201"/>
      <c r="N36" s="64">
        <f t="shared" si="4"/>
        <v>0</v>
      </c>
      <c r="O36" s="301" t="str">
        <f t="shared" si="1"/>
        <v>بانک تجارت کوتاه مدت 24845478</v>
      </c>
      <c r="P36" s="292">
        <v>0.30499999999999999</v>
      </c>
      <c r="Q36" s="216">
        <v>0</v>
      </c>
      <c r="R36" s="216"/>
      <c r="S36" s="306">
        <v>0.22500000000000001</v>
      </c>
      <c r="T36" s="303">
        <f t="shared" si="8"/>
        <v>0</v>
      </c>
      <c r="U36" s="304">
        <f>Q36-T36</f>
        <v>0</v>
      </c>
      <c r="V36" s="199">
        <f>SUM(U35:U36)</f>
        <v>0</v>
      </c>
    </row>
    <row r="37" spans="1:22" s="99" customFormat="1" ht="17.45" customHeight="1">
      <c r="A37" s="263" t="s">
        <v>201</v>
      </c>
      <c r="B37" s="232"/>
      <c r="C37" s="232"/>
      <c r="D37" s="64">
        <v>2130000000</v>
      </c>
      <c r="E37" s="64"/>
      <c r="F37" s="200">
        <v>0</v>
      </c>
      <c r="G37" s="64"/>
      <c r="H37" s="64">
        <f t="shared" si="3"/>
        <v>2130000000</v>
      </c>
      <c r="I37" s="70"/>
      <c r="J37" s="64">
        <f t="shared" si="0"/>
        <v>2130000000</v>
      </c>
      <c r="K37" s="201"/>
      <c r="L37" s="200">
        <v>0</v>
      </c>
      <c r="M37" s="201"/>
      <c r="N37" s="64">
        <f t="shared" si="4"/>
        <v>2130000000</v>
      </c>
      <c r="O37" s="301" t="str">
        <f t="shared" si="1"/>
        <v>بانک تجارت بلندمدت 0479604611065</v>
      </c>
      <c r="P37" s="292">
        <v>0.30499999999999999</v>
      </c>
      <c r="Q37" s="216">
        <v>2130000000</v>
      </c>
      <c r="R37" s="216"/>
      <c r="S37" s="306">
        <v>0.22500000000000001</v>
      </c>
      <c r="T37" s="303">
        <f t="shared" si="7"/>
        <v>1571311475.4098361</v>
      </c>
      <c r="U37" s="304">
        <f>Q37-T37</f>
        <v>558688524.59016395</v>
      </c>
      <c r="V37" s="199"/>
    </row>
    <row r="38" spans="1:22" s="99" customFormat="1" ht="17.45" customHeight="1">
      <c r="A38" s="263" t="s">
        <v>202</v>
      </c>
      <c r="B38" s="232"/>
      <c r="C38" s="232"/>
      <c r="D38" s="64">
        <v>500274990</v>
      </c>
      <c r="E38" s="64"/>
      <c r="F38" s="200">
        <v>0</v>
      </c>
      <c r="G38" s="64"/>
      <c r="H38" s="64">
        <f t="shared" si="3"/>
        <v>500274990</v>
      </c>
      <c r="I38" s="70"/>
      <c r="J38" s="64">
        <f t="shared" si="0"/>
        <v>500274990</v>
      </c>
      <c r="K38" s="201"/>
      <c r="L38" s="200">
        <v>0</v>
      </c>
      <c r="M38" s="201"/>
      <c r="N38" s="64">
        <f t="shared" si="4"/>
        <v>500274990</v>
      </c>
      <c r="O38" s="301" t="str">
        <f t="shared" si="1"/>
        <v>بانک تجارت بلندمدت 0479604588559</v>
      </c>
      <c r="P38" s="293">
        <v>0.05</v>
      </c>
      <c r="Q38" s="216">
        <v>500274990</v>
      </c>
      <c r="R38" s="216"/>
      <c r="S38" s="306">
        <v>0.22500000000000001</v>
      </c>
      <c r="T38" s="303">
        <f t="shared" si="7"/>
        <v>2251237455</v>
      </c>
      <c r="U38" s="304">
        <f t="shared" si="6"/>
        <v>-1750962465</v>
      </c>
      <c r="V38" s="199"/>
    </row>
    <row r="39" spans="1:22" s="99" customFormat="1" ht="17.45" customHeight="1">
      <c r="A39" s="263" t="s">
        <v>203</v>
      </c>
      <c r="B39" s="232"/>
      <c r="C39" s="232"/>
      <c r="D39" s="64">
        <v>91350000</v>
      </c>
      <c r="E39" s="64"/>
      <c r="F39" s="200">
        <v>0</v>
      </c>
      <c r="G39" s="64"/>
      <c r="H39" s="64">
        <f>D39+F39</f>
        <v>91350000</v>
      </c>
      <c r="I39" s="70"/>
      <c r="J39" s="64">
        <f t="shared" si="0"/>
        <v>91350000</v>
      </c>
      <c r="K39" s="201"/>
      <c r="L39" s="200">
        <v>0</v>
      </c>
      <c r="M39" s="201"/>
      <c r="N39" s="64">
        <f t="shared" si="4"/>
        <v>91350000</v>
      </c>
      <c r="O39" s="301" t="str">
        <f t="shared" si="1"/>
        <v>بانک تجارت بلندمدت 0479604581790</v>
      </c>
      <c r="P39" s="293">
        <v>0.05</v>
      </c>
      <c r="Q39" s="216">
        <v>91350000</v>
      </c>
      <c r="R39" s="216"/>
      <c r="S39" s="306">
        <v>0.22500000000000001</v>
      </c>
      <c r="T39" s="303">
        <f>Q39*S39/P39</f>
        <v>411075000</v>
      </c>
      <c r="U39" s="304">
        <f>Q39-T39</f>
        <v>-319725000</v>
      </c>
      <c r="V39" s="199"/>
    </row>
    <row r="40" spans="1:22" s="99" customFormat="1" ht="17.45" customHeight="1">
      <c r="A40" s="263" t="s">
        <v>204</v>
      </c>
      <c r="B40" s="232"/>
      <c r="C40" s="232"/>
      <c r="D40" s="64">
        <v>249999990</v>
      </c>
      <c r="E40" s="64"/>
      <c r="F40" s="200">
        <v>0</v>
      </c>
      <c r="G40" s="64"/>
      <c r="H40" s="64">
        <f t="shared" ref="H40:H51" si="9">D40+F40</f>
        <v>249999990</v>
      </c>
      <c r="I40" s="70"/>
      <c r="J40" s="64">
        <f t="shared" si="0"/>
        <v>249999990</v>
      </c>
      <c r="K40" s="201"/>
      <c r="L40" s="200">
        <v>0</v>
      </c>
      <c r="M40" s="201"/>
      <c r="N40" s="64">
        <f t="shared" si="4"/>
        <v>249999990</v>
      </c>
      <c r="O40" s="301" t="str">
        <f t="shared" ref="O40:O51" si="10">A40</f>
        <v>بانک تجارت بلندمدت 0479604567790</v>
      </c>
      <c r="P40" s="293"/>
      <c r="Q40" s="216">
        <v>249999990</v>
      </c>
      <c r="R40" s="216"/>
      <c r="S40" s="306"/>
      <c r="T40" s="303"/>
      <c r="U40" s="304"/>
      <c r="V40" s="199"/>
    </row>
    <row r="41" spans="1:22" s="99" customFormat="1" ht="17.45" customHeight="1">
      <c r="A41" s="263" t="s">
        <v>174</v>
      </c>
      <c r="B41" s="232"/>
      <c r="C41" s="232"/>
      <c r="D41" s="64">
        <v>760729740</v>
      </c>
      <c r="E41" s="64"/>
      <c r="F41" s="200">
        <v>0</v>
      </c>
      <c r="G41" s="64"/>
      <c r="H41" s="64">
        <f t="shared" si="9"/>
        <v>760729740</v>
      </c>
      <c r="I41" s="70"/>
      <c r="J41" s="64">
        <f t="shared" si="0"/>
        <v>760729740</v>
      </c>
      <c r="K41" s="201"/>
      <c r="L41" s="200">
        <v>0</v>
      </c>
      <c r="M41" s="201"/>
      <c r="N41" s="64">
        <f t="shared" si="4"/>
        <v>760729740</v>
      </c>
      <c r="O41" s="301" t="str">
        <f t="shared" si="10"/>
        <v>بانک تجارت 0479604349703</v>
      </c>
      <c r="P41" s="293"/>
      <c r="Q41" s="216">
        <v>760729740</v>
      </c>
      <c r="R41" s="216"/>
      <c r="S41" s="306"/>
      <c r="T41" s="303">
        <f>SUM(T7:T40)</f>
        <v>11747634678.971312</v>
      </c>
      <c r="U41" s="304"/>
      <c r="V41" s="199"/>
    </row>
    <row r="42" spans="1:22" s="99" customFormat="1" ht="17.45" customHeight="1">
      <c r="A42" s="263" t="s">
        <v>175</v>
      </c>
      <c r="B42" s="232"/>
      <c r="C42" s="232"/>
      <c r="D42" s="64">
        <v>0</v>
      </c>
      <c r="E42" s="64"/>
      <c r="F42" s="200">
        <v>0</v>
      </c>
      <c r="G42" s="64"/>
      <c r="H42" s="64">
        <f t="shared" si="9"/>
        <v>0</v>
      </c>
      <c r="I42" s="70"/>
      <c r="J42" s="64">
        <f t="shared" si="0"/>
        <v>0</v>
      </c>
      <c r="K42" s="201"/>
      <c r="L42" s="200">
        <v>0</v>
      </c>
      <c r="M42" s="201"/>
      <c r="N42" s="64">
        <f t="shared" si="4"/>
        <v>0</v>
      </c>
      <c r="O42" s="301" t="str">
        <f t="shared" si="10"/>
        <v>بانک تجارت 0479604275643</v>
      </c>
      <c r="P42" s="293"/>
      <c r="Q42" s="216">
        <v>0</v>
      </c>
      <c r="R42" s="216"/>
      <c r="S42" s="306"/>
      <c r="T42" s="303"/>
      <c r="U42" s="304"/>
      <c r="V42" s="199"/>
    </row>
    <row r="43" spans="1:22" s="99" customFormat="1" ht="17.45" customHeight="1">
      <c r="A43" s="263" t="s">
        <v>176</v>
      </c>
      <c r="B43" s="232"/>
      <c r="C43" s="232"/>
      <c r="D43" s="64">
        <v>6003506</v>
      </c>
      <c r="E43" s="64"/>
      <c r="F43" s="200">
        <v>0</v>
      </c>
      <c r="G43" s="64"/>
      <c r="H43" s="64">
        <f t="shared" si="9"/>
        <v>6003506</v>
      </c>
      <c r="I43" s="70"/>
      <c r="J43" s="64">
        <f t="shared" si="0"/>
        <v>6003506</v>
      </c>
      <c r="K43" s="201"/>
      <c r="L43" s="200">
        <v>0</v>
      </c>
      <c r="M43" s="201"/>
      <c r="N43" s="64">
        <f t="shared" si="4"/>
        <v>6003506</v>
      </c>
      <c r="O43" s="301" t="str">
        <f t="shared" si="10"/>
        <v>بانک تجارت 0479604255640</v>
      </c>
      <c r="P43" s="293"/>
      <c r="Q43" s="216">
        <v>6003506</v>
      </c>
      <c r="R43" s="216"/>
      <c r="S43" s="306"/>
      <c r="T43" s="303"/>
      <c r="U43" s="304"/>
      <c r="V43" s="199"/>
    </row>
    <row r="44" spans="1:22" s="99" customFormat="1" ht="17.45" customHeight="1">
      <c r="A44" s="263" t="s">
        <v>95</v>
      </c>
      <c r="B44" s="232"/>
      <c r="C44" s="232"/>
      <c r="D44" s="64">
        <v>0</v>
      </c>
      <c r="E44" s="64"/>
      <c r="F44" s="200">
        <v>0</v>
      </c>
      <c r="G44" s="64"/>
      <c r="H44" s="64">
        <f t="shared" si="9"/>
        <v>0</v>
      </c>
      <c r="I44" s="70"/>
      <c r="J44" s="64">
        <f t="shared" si="0"/>
        <v>0</v>
      </c>
      <c r="K44" s="201"/>
      <c r="L44" s="200">
        <v>0</v>
      </c>
      <c r="M44" s="201"/>
      <c r="N44" s="64">
        <f t="shared" si="4"/>
        <v>0</v>
      </c>
      <c r="O44" s="301" t="str">
        <f t="shared" si="10"/>
        <v xml:space="preserve">اقتصاد نوین کوتاه مدت-12485068674801	</v>
      </c>
      <c r="P44" s="293"/>
      <c r="Q44" s="216">
        <v>0</v>
      </c>
      <c r="R44" s="216"/>
      <c r="S44" s="306"/>
      <c r="T44" s="303"/>
      <c r="U44" s="304"/>
      <c r="V44" s="199"/>
    </row>
    <row r="45" spans="1:22" s="99" customFormat="1" ht="17.45" customHeight="1">
      <c r="A45" s="263" t="s">
        <v>97</v>
      </c>
      <c r="B45" s="232"/>
      <c r="C45" s="232"/>
      <c r="D45" s="64">
        <v>3956</v>
      </c>
      <c r="E45" s="64"/>
      <c r="F45" s="200">
        <v>0</v>
      </c>
      <c r="G45" s="64"/>
      <c r="H45" s="64">
        <f t="shared" si="9"/>
        <v>3956</v>
      </c>
      <c r="I45" s="70"/>
      <c r="J45" s="64">
        <f t="shared" si="0"/>
        <v>3956</v>
      </c>
      <c r="K45" s="201"/>
      <c r="L45" s="200">
        <v>0</v>
      </c>
      <c r="M45" s="201"/>
      <c r="N45" s="64">
        <f t="shared" si="4"/>
        <v>3956</v>
      </c>
      <c r="O45" s="301" t="str">
        <f t="shared" si="10"/>
        <v xml:space="preserve"> خاور میانه کوتاه مدت-100510810707074272	</v>
      </c>
      <c r="P45" s="293"/>
      <c r="Q45" s="216">
        <v>3956</v>
      </c>
      <c r="R45" s="216"/>
      <c r="S45" s="306"/>
      <c r="T45" s="303"/>
      <c r="U45" s="304"/>
      <c r="V45" s="199"/>
    </row>
    <row r="46" spans="1:22" ht="17.45" customHeight="1">
      <c r="A46" s="263" t="s">
        <v>98</v>
      </c>
      <c r="B46" s="289"/>
      <c r="C46" s="99"/>
      <c r="D46" s="64">
        <v>0</v>
      </c>
      <c r="E46" s="64"/>
      <c r="F46" s="200">
        <v>0</v>
      </c>
      <c r="G46" s="64"/>
      <c r="H46" s="64">
        <f>D46+F46</f>
        <v>0</v>
      </c>
      <c r="I46" s="67"/>
      <c r="J46" s="64">
        <f t="shared" si="0"/>
        <v>0</v>
      </c>
      <c r="K46" s="64"/>
      <c r="L46" s="200">
        <v>0</v>
      </c>
      <c r="M46" s="64"/>
      <c r="N46" s="64">
        <f t="shared" si="4"/>
        <v>0</v>
      </c>
      <c r="O46" s="301" t="str">
        <f t="shared" si="10"/>
        <v>صادرات کوتاه مدت-0217918818004</v>
      </c>
      <c r="P46" s="305">
        <v>0.3</v>
      </c>
      <c r="Q46" s="216">
        <v>0</v>
      </c>
      <c r="S46" s="306">
        <v>0.22500000000000001</v>
      </c>
      <c r="T46" s="303">
        <f>Q46*S46/P46</f>
        <v>0</v>
      </c>
      <c r="U46" s="304">
        <f>Q46-T46</f>
        <v>0</v>
      </c>
      <c r="V46" s="199"/>
    </row>
    <row r="47" spans="1:22" s="99" customFormat="1" ht="17.45" customHeight="1">
      <c r="A47" s="263" t="s">
        <v>225</v>
      </c>
      <c r="B47" s="232"/>
      <c r="C47" s="232"/>
      <c r="D47" s="64">
        <v>3727131215</v>
      </c>
      <c r="E47" s="64"/>
      <c r="F47" s="200">
        <v>0</v>
      </c>
      <c r="G47" s="64"/>
      <c r="H47" s="64">
        <f t="shared" si="9"/>
        <v>3727131215</v>
      </c>
      <c r="I47" s="70"/>
      <c r="J47" s="64">
        <f t="shared" si="0"/>
        <v>3727131215</v>
      </c>
      <c r="K47" s="201"/>
      <c r="L47" s="200">
        <v>0</v>
      </c>
      <c r="M47" s="201"/>
      <c r="N47" s="64">
        <f t="shared" si="4"/>
        <v>3727131215</v>
      </c>
      <c r="O47" s="301" t="str">
        <f t="shared" si="10"/>
        <v> بانک صادرات 0407482631001</v>
      </c>
      <c r="P47" s="305">
        <v>0.3</v>
      </c>
      <c r="Q47" s="216">
        <v>3727131215</v>
      </c>
      <c r="R47" s="216"/>
      <c r="S47" s="306"/>
      <c r="T47" s="303"/>
      <c r="U47" s="304"/>
      <c r="V47" s="199"/>
    </row>
    <row r="48" spans="1:22" s="99" customFormat="1" ht="17.45" customHeight="1">
      <c r="A48" s="263" t="s">
        <v>224</v>
      </c>
      <c r="B48" s="232"/>
      <c r="C48" s="232"/>
      <c r="D48" s="64">
        <v>452157368</v>
      </c>
      <c r="E48" s="64"/>
      <c r="F48" s="200">
        <v>0</v>
      </c>
      <c r="G48" s="64"/>
      <c r="H48" s="64">
        <f t="shared" si="9"/>
        <v>452157368</v>
      </c>
      <c r="I48" s="70"/>
      <c r="J48" s="64">
        <f t="shared" si="0"/>
        <v>452157368</v>
      </c>
      <c r="K48" s="201"/>
      <c r="L48" s="200">
        <v>0</v>
      </c>
      <c r="M48" s="201"/>
      <c r="N48" s="64">
        <f t="shared" si="4"/>
        <v>452157368</v>
      </c>
      <c r="O48" s="301" t="str">
        <f t="shared" si="10"/>
        <v> صادرات بلندمدت 0407585979002</v>
      </c>
      <c r="P48" s="305">
        <v>0.3</v>
      </c>
      <c r="Q48" s="216">
        <v>452157368</v>
      </c>
      <c r="R48" s="216"/>
      <c r="S48" s="306"/>
      <c r="T48" s="303"/>
      <c r="U48" s="304"/>
      <c r="V48" s="199"/>
    </row>
    <row r="49" spans="1:22" s="99" customFormat="1" ht="17.45" customHeight="1">
      <c r="A49" s="263" t="s">
        <v>223</v>
      </c>
      <c r="B49" s="232"/>
      <c r="C49" s="232"/>
      <c r="D49" s="64">
        <v>407483610</v>
      </c>
      <c r="E49" s="64"/>
      <c r="F49" s="200">
        <v>0</v>
      </c>
      <c r="G49" s="64"/>
      <c r="H49" s="64">
        <f t="shared" si="9"/>
        <v>407483610</v>
      </c>
      <c r="I49" s="70"/>
      <c r="J49" s="64">
        <f t="shared" si="0"/>
        <v>407483610</v>
      </c>
      <c r="K49" s="201"/>
      <c r="L49" s="200">
        <v>0</v>
      </c>
      <c r="M49" s="201"/>
      <c r="N49" s="64">
        <f t="shared" si="4"/>
        <v>407483610</v>
      </c>
      <c r="O49" s="301" t="str">
        <f t="shared" si="10"/>
        <v> صادرات بلندمدت 0407596963001</v>
      </c>
      <c r="P49" s="305">
        <v>0.3</v>
      </c>
      <c r="Q49" s="216">
        <v>407483610</v>
      </c>
      <c r="R49" s="216"/>
      <c r="S49" s="306"/>
      <c r="T49" s="303"/>
      <c r="U49" s="304"/>
      <c r="V49" s="199"/>
    </row>
    <row r="50" spans="1:22" s="99" customFormat="1" ht="17.45" customHeight="1">
      <c r="A50" s="263" t="s">
        <v>226</v>
      </c>
      <c r="B50" s="232"/>
      <c r="C50" s="232"/>
      <c r="D50" s="64">
        <v>0</v>
      </c>
      <c r="E50" s="64"/>
      <c r="F50" s="200">
        <v>0</v>
      </c>
      <c r="G50" s="64"/>
      <c r="H50" s="64">
        <f t="shared" si="9"/>
        <v>0</v>
      </c>
      <c r="I50" s="70"/>
      <c r="J50" s="64">
        <f t="shared" si="0"/>
        <v>0</v>
      </c>
      <c r="K50" s="201"/>
      <c r="L50" s="200">
        <v>0</v>
      </c>
      <c r="M50" s="201"/>
      <c r="N50" s="64">
        <f t="shared" si="4"/>
        <v>0</v>
      </c>
      <c r="O50" s="301"/>
      <c r="P50" s="305"/>
      <c r="Q50" s="216"/>
      <c r="R50" s="216"/>
      <c r="S50" s="306"/>
      <c r="T50" s="303"/>
      <c r="U50" s="304"/>
      <c r="V50" s="199"/>
    </row>
    <row r="51" spans="1:22" s="99" customFormat="1" ht="17.45" customHeight="1">
      <c r="A51" s="263" t="s">
        <v>222</v>
      </c>
      <c r="B51" s="232"/>
      <c r="C51" s="232"/>
      <c r="D51" s="64">
        <v>98360656</v>
      </c>
      <c r="E51" s="64"/>
      <c r="F51" s="200">
        <v>0</v>
      </c>
      <c r="G51" s="64"/>
      <c r="H51" s="64">
        <f t="shared" si="9"/>
        <v>98360656</v>
      </c>
      <c r="I51" s="70"/>
      <c r="J51" s="64">
        <f t="shared" si="0"/>
        <v>98360656</v>
      </c>
      <c r="K51" s="201"/>
      <c r="L51" s="200">
        <v>0</v>
      </c>
      <c r="M51" s="201"/>
      <c r="N51" s="64">
        <f t="shared" si="4"/>
        <v>98360656</v>
      </c>
      <c r="O51" s="301" t="str">
        <f t="shared" si="10"/>
        <v> صادرات بلندمدت 0407608871004</v>
      </c>
      <c r="P51" s="305">
        <v>0.3</v>
      </c>
      <c r="Q51" s="216">
        <v>98360656</v>
      </c>
      <c r="R51" s="216"/>
      <c r="S51" s="306"/>
      <c r="T51" s="303"/>
      <c r="U51" s="304"/>
      <c r="V51" s="199"/>
    </row>
    <row r="52" spans="1:22" s="99" customFormat="1" ht="17.649999999999999" thickBot="1">
      <c r="A52" s="288"/>
      <c r="B52" s="289"/>
      <c r="C52" s="76">
        <f>SUM(C18:C39)</f>
        <v>0</v>
      </c>
      <c r="D52" s="308">
        <f t="shared" ref="D52:N52" si="11">SUM(D7:D51)</f>
        <v>17370343149</v>
      </c>
      <c r="E52" s="308">
        <f t="shared" si="11"/>
        <v>0</v>
      </c>
      <c r="F52" s="308">
        <f t="shared" si="11"/>
        <v>-19572571</v>
      </c>
      <c r="G52" s="308">
        <f t="shared" si="11"/>
        <v>0</v>
      </c>
      <c r="H52" s="308">
        <f t="shared" si="11"/>
        <v>17350770578</v>
      </c>
      <c r="I52" s="308">
        <f t="shared" si="11"/>
        <v>0</v>
      </c>
      <c r="J52" s="308">
        <f t="shared" si="11"/>
        <v>17331198007</v>
      </c>
      <c r="K52" s="308">
        <f t="shared" si="11"/>
        <v>0</v>
      </c>
      <c r="L52" s="308">
        <f t="shared" si="11"/>
        <v>-19766320</v>
      </c>
      <c r="M52" s="308">
        <f t="shared" si="11"/>
        <v>0</v>
      </c>
      <c r="N52" s="308">
        <f t="shared" si="11"/>
        <v>17311431687</v>
      </c>
      <c r="O52" s="199"/>
      <c r="P52" s="67"/>
      <c r="Q52" s="219"/>
      <c r="R52" s="219"/>
      <c r="S52" s="219"/>
      <c r="T52" s="219"/>
      <c r="U52" s="219"/>
      <c r="V52" s="309"/>
    </row>
    <row r="53" spans="1:22" ht="30.75" customHeight="1" thickTop="1"/>
  </sheetData>
  <autoFilter ref="A6:N52" xr:uid="{00000000-0009-0000-0000-000006000000}">
    <sortState xmlns:xlrd2="http://schemas.microsoft.com/office/spreadsheetml/2017/richdata2" ref="A7:N52">
      <sortCondition ref="A6:A52"/>
    </sortState>
  </autoFilter>
  <mergeCells count="6">
    <mergeCell ref="A4:D4"/>
    <mergeCell ref="J5:N5"/>
    <mergeCell ref="A1:N1"/>
    <mergeCell ref="A2:N2"/>
    <mergeCell ref="A3:N3"/>
    <mergeCell ref="D5:H5"/>
  </mergeCells>
  <phoneticPr fontId="52" type="noConversion"/>
  <printOptions horizontalCentered="1"/>
  <pageMargins left="0.25" right="0.25" top="0.75" bottom="0.75" header="0.3" footer="0.3"/>
  <pageSetup paperSize="9" scale="3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16EB4-AE23-46F1-A227-5E83822B4F72}">
  <dimension ref="A1:AH53"/>
  <sheetViews>
    <sheetView rightToLeft="1" view="pageBreakPreview" zoomScale="130" zoomScaleNormal="100" zoomScaleSheetLayoutView="130" workbookViewId="0">
      <selection activeCell="B13" sqref="B13"/>
    </sheetView>
  </sheetViews>
  <sheetFormatPr defaultRowHeight="14.25"/>
  <cols>
    <col min="1" max="1" width="14.265625" customWidth="1"/>
    <col min="2" max="2" width="14.86328125" customWidth="1"/>
    <col min="3" max="3" width="7.59765625" bestFit="1" customWidth="1"/>
    <col min="4" max="4" width="8" customWidth="1"/>
    <col min="5" max="5" width="11.1328125" customWidth="1"/>
    <col min="6" max="6" width="13" customWidth="1"/>
    <col min="7" max="7" width="6.1328125" customWidth="1"/>
    <col min="8" max="8" width="13.59765625" customWidth="1"/>
    <col min="9" max="9" width="0.3984375" customWidth="1"/>
  </cols>
  <sheetData>
    <row r="1" spans="1:17" ht="15.4">
      <c r="A1" s="351" t="s">
        <v>80</v>
      </c>
      <c r="B1" s="351"/>
      <c r="C1" s="351"/>
      <c r="D1" s="351"/>
      <c r="E1" s="351"/>
      <c r="F1" s="351"/>
      <c r="G1" s="351"/>
      <c r="H1" s="351"/>
      <c r="I1" s="351"/>
      <c r="J1" s="166"/>
      <c r="K1" s="166"/>
      <c r="L1" s="166"/>
      <c r="M1" s="166"/>
      <c r="N1" s="166"/>
      <c r="O1" s="166"/>
      <c r="P1" s="166"/>
      <c r="Q1" s="166"/>
    </row>
    <row r="2" spans="1:17" ht="15.4">
      <c r="A2" s="351" t="s">
        <v>44</v>
      </c>
      <c r="B2" s="351"/>
      <c r="C2" s="351"/>
      <c r="D2" s="351"/>
      <c r="E2" s="351"/>
      <c r="F2" s="351"/>
      <c r="G2" s="351"/>
      <c r="H2" s="351"/>
      <c r="I2" s="351"/>
      <c r="J2" s="166"/>
      <c r="K2" s="166"/>
      <c r="L2" s="166"/>
      <c r="M2" s="166"/>
      <c r="N2" s="166"/>
      <c r="O2" s="166"/>
      <c r="P2" s="166"/>
      <c r="Q2" s="166"/>
    </row>
    <row r="3" spans="1:17" ht="15.4">
      <c r="A3" s="351" t="str">
        <f>سپرده!A3</f>
        <v>برای ماه منتهی به 1403/11/30</v>
      </c>
      <c r="B3" s="351"/>
      <c r="C3" s="351"/>
      <c r="D3" s="351"/>
      <c r="E3" s="351"/>
      <c r="F3" s="351"/>
      <c r="G3" s="351"/>
      <c r="H3" s="351"/>
      <c r="I3" s="351"/>
      <c r="J3" s="166"/>
      <c r="K3" s="166"/>
      <c r="L3" s="166"/>
      <c r="M3" s="166"/>
      <c r="N3" s="166"/>
      <c r="O3" s="166"/>
      <c r="P3" s="166"/>
      <c r="Q3" s="166"/>
    </row>
    <row r="4" spans="1:17" ht="11.25" customHeight="1"/>
    <row r="5" spans="1:17">
      <c r="A5" s="407" t="s">
        <v>127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</row>
    <row r="7" spans="1:17" s="221" customFormat="1" ht="30.4">
      <c r="A7" s="168" t="s">
        <v>128</v>
      </c>
      <c r="B7" s="168" t="s">
        <v>129</v>
      </c>
      <c r="C7" s="168" t="s">
        <v>130</v>
      </c>
      <c r="D7" s="168" t="s">
        <v>131</v>
      </c>
      <c r="E7" s="168" t="s">
        <v>132</v>
      </c>
      <c r="F7" s="168" t="s">
        <v>133</v>
      </c>
      <c r="G7" s="168" t="s">
        <v>134</v>
      </c>
      <c r="H7" s="168" t="s">
        <v>157</v>
      </c>
    </row>
    <row r="8" spans="1:17" ht="18">
      <c r="A8" s="171" t="s">
        <v>155</v>
      </c>
      <c r="B8" s="171" t="s">
        <v>155</v>
      </c>
      <c r="C8" s="171" t="s">
        <v>156</v>
      </c>
      <c r="D8" s="183">
        <f>اوراق!M12</f>
        <v>320000</v>
      </c>
      <c r="E8" s="187">
        <f>اوراق!AC12</f>
        <v>295347345800</v>
      </c>
      <c r="F8" s="187">
        <v>5786229510</v>
      </c>
      <c r="G8" s="184">
        <v>0.23</v>
      </c>
      <c r="H8" s="184">
        <v>0.39</v>
      </c>
    </row>
    <row r="9" spans="1:17" ht="18">
      <c r="A9" s="171" t="s">
        <v>155</v>
      </c>
      <c r="B9" s="171" t="s">
        <v>155</v>
      </c>
      <c r="C9" s="171" t="s">
        <v>178</v>
      </c>
      <c r="D9" s="183">
        <f>اوراق!M13</f>
        <v>200000</v>
      </c>
      <c r="E9" s="187">
        <f>اوراق!AC13</f>
        <v>211031593750</v>
      </c>
      <c r="F9" s="187">
        <v>3583720421</v>
      </c>
      <c r="G9" s="184">
        <v>0.26</v>
      </c>
      <c r="H9" s="202">
        <v>0.38700000000000001</v>
      </c>
    </row>
    <row r="10" spans="1:17">
      <c r="A10" s="401" t="s">
        <v>150</v>
      </c>
      <c r="B10" s="401"/>
      <c r="C10" s="401"/>
      <c r="D10" s="401"/>
      <c r="E10" s="401"/>
      <c r="F10" s="401"/>
    </row>
    <row r="11" spans="1:17">
      <c r="F11" s="215"/>
    </row>
    <row r="20" spans="1:1">
      <c r="A20" t="s">
        <v>151</v>
      </c>
    </row>
    <row r="53" spans="34:34">
      <c r="AH53" t="s">
        <v>152</v>
      </c>
    </row>
  </sheetData>
  <mergeCells count="5">
    <mergeCell ref="A10:F10"/>
    <mergeCell ref="A1:I1"/>
    <mergeCell ref="A2:I2"/>
    <mergeCell ref="A5:Q5"/>
    <mergeCell ref="A3:I3"/>
  </mergeCells>
  <pageMargins left="0.7" right="0.7" top="0.75" bottom="0.75" header="0.3" footer="0.3"/>
  <pageSetup scale="81" orientation="portrait" r:id="rId1"/>
  <colBreaks count="1" manualBreakCount="1">
    <brk id="8" max="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0.79998168889431442"/>
  </sheetPr>
  <dimension ref="A1:F10"/>
  <sheetViews>
    <sheetView rightToLeft="1" view="pageBreakPreview" zoomScale="145" zoomScaleNormal="100" zoomScaleSheetLayoutView="145" workbookViewId="0">
      <selection activeCell="G9" sqref="G9"/>
    </sheetView>
  </sheetViews>
  <sheetFormatPr defaultColWidth="9.1328125" defaultRowHeight="15"/>
  <cols>
    <col min="1" max="1" width="32.3984375" style="111" customWidth="1"/>
    <col min="2" max="2" width="1.3984375" style="111" customWidth="1"/>
    <col min="3" max="3" width="17.73046875" style="111" bestFit="1" customWidth="1"/>
    <col min="4" max="4" width="0.86328125" style="111" customWidth="1"/>
    <col min="5" max="5" width="18.1328125" style="111" customWidth="1"/>
    <col min="6" max="6" width="16.59765625" style="111" customWidth="1"/>
    <col min="7" max="16384" width="9.1328125" style="111"/>
  </cols>
  <sheetData>
    <row r="1" spans="1:6" s="139" customFormat="1">
      <c r="A1" s="364" t="s">
        <v>80</v>
      </c>
      <c r="B1" s="364"/>
      <c r="C1" s="364"/>
      <c r="D1" s="364"/>
      <c r="E1" s="364"/>
    </row>
    <row r="2" spans="1:6" s="139" customFormat="1">
      <c r="A2" s="364" t="s">
        <v>50</v>
      </c>
      <c r="B2" s="364"/>
      <c r="C2" s="364"/>
      <c r="D2" s="364"/>
      <c r="E2" s="364"/>
    </row>
    <row r="3" spans="1:6" s="139" customFormat="1">
      <c r="A3" s="364" t="str">
        <f>' سهام'!A3:W3</f>
        <v>برای ماه منتهی به 1403/11/30</v>
      </c>
      <c r="B3" s="364"/>
      <c r="C3" s="364"/>
      <c r="D3" s="364"/>
      <c r="E3" s="364"/>
    </row>
    <row r="4" spans="1:6">
      <c r="A4" s="354" t="s">
        <v>188</v>
      </c>
      <c r="B4" s="354"/>
      <c r="C4" s="354"/>
      <c r="D4" s="354"/>
      <c r="E4" s="354"/>
    </row>
    <row r="5" spans="1:6" ht="49.5" customHeight="1" thickBot="1">
      <c r="A5" s="135"/>
      <c r="B5" s="136"/>
      <c r="C5" s="140" t="s">
        <v>209</v>
      </c>
      <c r="D5" s="112"/>
      <c r="E5" s="140" t="s">
        <v>211</v>
      </c>
    </row>
    <row r="6" spans="1:6">
      <c r="A6" s="392"/>
      <c r="B6" s="393"/>
      <c r="C6" s="394" t="s">
        <v>6</v>
      </c>
      <c r="D6" s="137"/>
      <c r="E6" s="394" t="s">
        <v>6</v>
      </c>
    </row>
    <row r="7" spans="1:6" ht="15.4" thickBot="1">
      <c r="A7" s="393"/>
      <c r="B7" s="393"/>
      <c r="C7" s="396"/>
      <c r="D7" s="138"/>
      <c r="E7" s="396"/>
    </row>
    <row r="8" spans="1:6" ht="25.9" customHeight="1">
      <c r="A8" s="141" t="s">
        <v>103</v>
      </c>
      <c r="B8" s="7"/>
      <c r="C8" s="154">
        <v>500000</v>
      </c>
      <c r="D8" s="64"/>
      <c r="E8" s="64">
        <v>500000</v>
      </c>
      <c r="F8" s="152"/>
    </row>
    <row r="9" spans="1:6" ht="15.4" thickBot="1">
      <c r="A9" s="137" t="s">
        <v>2</v>
      </c>
      <c r="B9" s="180"/>
      <c r="C9" s="226">
        <f>SUM(C8:C8)</f>
        <v>500000</v>
      </c>
      <c r="D9" s="227"/>
      <c r="E9" s="228">
        <f>SUM(E8:E8)</f>
        <v>500000</v>
      </c>
    </row>
    <row r="10" spans="1:6" ht="15.4" thickTop="1">
      <c r="D10" s="64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4" tint="0.79998168889431442"/>
  </sheetPr>
  <dimension ref="A1:S20"/>
  <sheetViews>
    <sheetView rightToLeft="1" view="pageBreakPreview" zoomScale="85" zoomScaleNormal="100" zoomScaleSheetLayoutView="85" workbookViewId="0">
      <selection activeCell="I6" sqref="I6:M6"/>
    </sheetView>
  </sheetViews>
  <sheetFormatPr defaultColWidth="9.1328125" defaultRowHeight="13.5"/>
  <cols>
    <col min="1" max="1" width="24.73046875" style="7" customWidth="1"/>
    <col min="2" max="2" width="0.59765625" style="7" customWidth="1"/>
    <col min="3" max="3" width="15" style="7" customWidth="1"/>
    <col min="4" max="4" width="0.86328125" style="7" customWidth="1"/>
    <col min="5" max="5" width="15.265625" style="7" bestFit="1" customWidth="1"/>
    <col min="6" max="6" width="1.1328125" style="7" customWidth="1"/>
    <col min="7" max="7" width="9.3984375" style="7" bestFit="1" customWidth="1"/>
    <col min="8" max="8" width="0.59765625" style="7" customWidth="1"/>
    <col min="9" max="9" width="19.3984375" style="7" customWidth="1"/>
    <col min="10" max="10" width="1" style="7" customWidth="1"/>
    <col min="11" max="11" width="15.265625" style="7" customWidth="1"/>
    <col min="12" max="12" width="1.1328125" style="7" customWidth="1"/>
    <col min="13" max="13" width="18.265625" style="7" customWidth="1"/>
    <col min="14" max="14" width="1" style="7" customWidth="1"/>
    <col min="15" max="15" width="19.3984375" style="7" bestFit="1" customWidth="1"/>
    <col min="16" max="16" width="1.1328125" style="7" customWidth="1"/>
    <col min="17" max="17" width="16" style="7" bestFit="1" customWidth="1"/>
    <col min="18" max="18" width="1.1328125" style="7" customWidth="1"/>
    <col min="19" max="19" width="21.1328125" style="7" bestFit="1" customWidth="1"/>
    <col min="20" max="20" width="2.86328125" style="7" customWidth="1"/>
    <col min="21" max="16384" width="9.1328125" style="7"/>
  </cols>
  <sheetData>
    <row r="1" spans="1:19" ht="17.649999999999999">
      <c r="A1" s="397" t="s">
        <v>80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</row>
    <row r="2" spans="1:19" ht="17.649999999999999">
      <c r="A2" s="397" t="s">
        <v>50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</row>
    <row r="3" spans="1:19" ht="17.649999999999999">
      <c r="A3" s="397" t="s">
        <v>189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</row>
    <row r="4" spans="1:19" ht="17.649999999999999">
      <c r="A4" s="410" t="s">
        <v>68</v>
      </c>
      <c r="B4" s="410"/>
      <c r="C4" s="410"/>
      <c r="D4" s="410"/>
      <c r="E4" s="410"/>
      <c r="F4" s="410"/>
      <c r="G4" s="410"/>
      <c r="H4" s="410"/>
      <c r="I4" s="411"/>
      <c r="J4" s="411"/>
      <c r="K4" s="411"/>
      <c r="L4" s="411"/>
      <c r="M4" s="411"/>
      <c r="N4" s="411"/>
      <c r="O4" s="411"/>
      <c r="P4" s="411"/>
      <c r="Q4" s="410"/>
      <c r="R4" s="410"/>
      <c r="S4" s="410"/>
    </row>
    <row r="6" spans="1:19" ht="15">
      <c r="C6" s="408" t="s">
        <v>69</v>
      </c>
      <c r="D6" s="409"/>
      <c r="E6" s="409"/>
      <c r="F6" s="409"/>
      <c r="G6" s="409"/>
      <c r="I6" s="408" t="s">
        <v>270</v>
      </c>
      <c r="J6" s="409"/>
      <c r="K6" s="409"/>
      <c r="L6" s="409"/>
      <c r="M6" s="409"/>
      <c r="O6" s="408" t="s">
        <v>191</v>
      </c>
      <c r="P6" s="409"/>
      <c r="Q6" s="409"/>
      <c r="R6" s="409"/>
      <c r="S6" s="409"/>
    </row>
    <row r="7" spans="1:19" ht="30">
      <c r="A7" s="17" t="s">
        <v>70</v>
      </c>
      <c r="C7" s="14" t="s">
        <v>71</v>
      </c>
      <c r="E7" s="14" t="s">
        <v>72</v>
      </c>
      <c r="G7" s="14" t="s">
        <v>73</v>
      </c>
      <c r="I7" s="14" t="s">
        <v>74</v>
      </c>
      <c r="K7" s="14" t="s">
        <v>75</v>
      </c>
      <c r="M7" s="14" t="s">
        <v>76</v>
      </c>
      <c r="O7" s="14" t="s">
        <v>74</v>
      </c>
      <c r="Q7" s="14" t="s">
        <v>75</v>
      </c>
      <c r="S7" s="14" t="s">
        <v>76</v>
      </c>
    </row>
    <row r="8" spans="1:19" ht="17.25">
      <c r="A8" s="59" t="s">
        <v>82</v>
      </c>
      <c r="B8" s="13"/>
      <c r="C8" s="21" t="s">
        <v>81</v>
      </c>
      <c r="D8" s="8"/>
      <c r="E8" s="21" t="s">
        <v>81</v>
      </c>
      <c r="F8" s="8"/>
      <c r="G8" s="34">
        <v>0</v>
      </c>
      <c r="H8" s="8"/>
      <c r="I8" s="32">
        <v>0</v>
      </c>
      <c r="J8" s="32"/>
      <c r="K8" s="32">
        <v>0</v>
      </c>
      <c r="L8" s="32"/>
      <c r="M8" s="32">
        <f>I8+K8</f>
        <v>0</v>
      </c>
      <c r="N8" s="32"/>
      <c r="O8" s="32">
        <v>0</v>
      </c>
      <c r="P8" s="32"/>
      <c r="Q8" s="32">
        <v>0</v>
      </c>
      <c r="R8" s="32"/>
      <c r="S8" s="32">
        <f>O8+Q8</f>
        <v>0</v>
      </c>
    </row>
    <row r="9" spans="1:19" ht="15.4" thickBot="1">
      <c r="A9" s="15" t="s">
        <v>77</v>
      </c>
      <c r="I9" s="33">
        <f>SUM(I8:I8)</f>
        <v>0</v>
      </c>
      <c r="J9" s="8" t="e">
        <f>SUM(#REF!)</f>
        <v>#REF!</v>
      </c>
      <c r="K9" s="33">
        <f>SUM(K8:K8)</f>
        <v>0</v>
      </c>
      <c r="L9" s="8" t="e">
        <f>SUM(#REF!)</f>
        <v>#REF!</v>
      </c>
      <c r="M9" s="33">
        <f>SUM(M8:M8)</f>
        <v>0</v>
      </c>
      <c r="N9" s="8" t="e">
        <f>SUM(#REF!)</f>
        <v>#REF!</v>
      </c>
      <c r="O9" s="33">
        <f>SUM(O8:O8)</f>
        <v>0</v>
      </c>
      <c r="P9" s="8"/>
      <c r="Q9" s="33">
        <f>SUM(Q8)</f>
        <v>0</v>
      </c>
      <c r="R9" s="8" t="e">
        <f>SUM(#REF!)</f>
        <v>#REF!</v>
      </c>
      <c r="S9" s="33">
        <f>SUM(S8:S8)</f>
        <v>0</v>
      </c>
    </row>
    <row r="10" spans="1:19" ht="15.4" thickTop="1">
      <c r="I10" s="16"/>
      <c r="K10" s="16"/>
      <c r="M10" s="16"/>
      <c r="O10" s="16"/>
      <c r="Q10" s="16"/>
      <c r="S10" s="16"/>
    </row>
    <row r="11" spans="1:19" ht="16.5" customHeight="1"/>
    <row r="12" spans="1:19" s="32" customFormat="1" ht="15"/>
    <row r="13" spans="1:19" s="32" customFormat="1" ht="15"/>
    <row r="14" spans="1:19" s="32" customFormat="1" ht="15"/>
    <row r="15" spans="1:19" s="32" customFormat="1" ht="15"/>
    <row r="16" spans="1:19" s="32" customFormat="1" ht="15"/>
    <row r="17" s="32" customFormat="1" ht="15"/>
    <row r="18" s="32" customFormat="1" ht="15"/>
    <row r="19" s="32" customFormat="1" ht="15"/>
    <row r="20" s="32" customFormat="1" ht="15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 tint="0.79998168889431442"/>
    <pageSetUpPr fitToPage="1"/>
  </sheetPr>
  <dimension ref="A1:AC10"/>
  <sheetViews>
    <sheetView rightToLeft="1" view="pageBreakPreview" zoomScale="55" zoomScaleNormal="100" zoomScaleSheetLayoutView="55" workbookViewId="0">
      <selection activeCell="O6" sqref="O1:O1048576"/>
    </sheetView>
  </sheetViews>
  <sheetFormatPr defaultColWidth="9.1328125" defaultRowHeight="13.5"/>
  <cols>
    <col min="1" max="1" width="44.73046875" style="7" customWidth="1"/>
    <col min="2" max="2" width="1.265625" style="7" customWidth="1"/>
    <col min="3" max="3" width="15.3984375" style="7" customWidth="1"/>
    <col min="4" max="4" width="0.86328125" style="7" customWidth="1"/>
    <col min="5" max="5" width="23.86328125" style="77" customWidth="1"/>
    <col min="6" max="6" width="0.59765625" style="77" customWidth="1"/>
    <col min="7" max="7" width="24.73046875" style="77" customWidth="1"/>
    <col min="8" max="8" width="0.86328125" style="77" customWidth="1"/>
    <col min="9" max="9" width="26" style="78" customWidth="1"/>
    <col min="10" max="10" width="0.59765625" style="78" customWidth="1"/>
    <col min="11" max="11" width="15.59765625" style="78" customWidth="1"/>
    <col min="12" max="12" width="0.3984375" style="78" customWidth="1"/>
    <col min="13" max="13" width="22.265625" style="78" customWidth="1"/>
    <col min="14" max="14" width="0.3984375" style="78" customWidth="1"/>
    <col min="15" max="15" width="23.59765625" style="78" bestFit="1" customWidth="1"/>
    <col min="16" max="16" width="0.59765625" style="78" customWidth="1"/>
    <col min="17" max="17" width="23.265625" style="78" customWidth="1"/>
    <col min="18" max="18" width="16.86328125" style="7" hidden="1" customWidth="1"/>
    <col min="19" max="19" width="16.3984375" style="7" hidden="1" customWidth="1"/>
    <col min="20" max="20" width="18.86328125" style="7" hidden="1" customWidth="1"/>
    <col min="21" max="21" width="13.59765625" style="7" hidden="1" customWidth="1"/>
    <col min="22" max="22" width="14.86328125" style="7" hidden="1" customWidth="1"/>
    <col min="23" max="23" width="0" style="7" hidden="1" customWidth="1"/>
    <col min="24" max="24" width="18.3984375" style="7" hidden="1" customWidth="1"/>
    <col min="25" max="25" width="0" style="7" hidden="1" customWidth="1"/>
    <col min="26" max="28" width="9.1328125" style="7"/>
    <col min="29" max="29" width="41.86328125" style="7" customWidth="1"/>
    <col min="30" max="16384" width="9.1328125" style="7"/>
  </cols>
  <sheetData>
    <row r="1" spans="1:29" ht="17.649999999999999">
      <c r="A1" s="397" t="s">
        <v>80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</row>
    <row r="2" spans="1:29" ht="17.649999999999999">
      <c r="A2" s="397" t="s">
        <v>50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</row>
    <row r="3" spans="1:29" ht="17.649999999999999">
      <c r="A3" s="397" t="str">
        <f>' سهام'!A3:W3</f>
        <v>برای ماه منتهی به 1403/11/30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</row>
    <row r="4" spans="1:29" ht="17.649999999999999">
      <c r="A4" s="410" t="s">
        <v>57</v>
      </c>
      <c r="B4" s="410"/>
      <c r="C4" s="410"/>
      <c r="D4" s="410"/>
      <c r="E4" s="410"/>
      <c r="F4" s="410"/>
      <c r="G4" s="410"/>
      <c r="H4" s="410"/>
      <c r="I4" s="410"/>
      <c r="J4" s="417"/>
      <c r="K4" s="417"/>
      <c r="L4" s="417"/>
      <c r="M4" s="417"/>
      <c r="N4" s="417"/>
      <c r="O4" s="417"/>
      <c r="P4" s="417"/>
      <c r="Q4" s="417"/>
    </row>
    <row r="5" spans="1:29" ht="21" customHeight="1" thickBot="1">
      <c r="A5" s="99"/>
      <c r="B5" s="99"/>
      <c r="C5" s="415" t="s">
        <v>209</v>
      </c>
      <c r="D5" s="415"/>
      <c r="E5" s="415"/>
      <c r="F5" s="415"/>
      <c r="G5" s="415"/>
      <c r="H5" s="415"/>
      <c r="I5" s="415"/>
      <c r="J5" s="12"/>
      <c r="K5" s="416" t="s">
        <v>210</v>
      </c>
      <c r="L5" s="416"/>
      <c r="M5" s="416"/>
      <c r="N5" s="416"/>
      <c r="O5" s="416"/>
      <c r="P5" s="416"/>
      <c r="Q5" s="416"/>
    </row>
    <row r="6" spans="1:29" ht="34.9" thickBot="1">
      <c r="A6" s="310" t="s">
        <v>32</v>
      </c>
      <c r="B6" s="310"/>
      <c r="C6" s="311" t="s">
        <v>3</v>
      </c>
      <c r="D6" s="310"/>
      <c r="E6" s="146" t="s">
        <v>39</v>
      </c>
      <c r="F6" s="74"/>
      <c r="G6" s="147" t="s">
        <v>36</v>
      </c>
      <c r="H6" s="74"/>
      <c r="I6" s="83" t="s">
        <v>40</v>
      </c>
      <c r="J6" s="12"/>
      <c r="K6" s="82" t="s">
        <v>3</v>
      </c>
      <c r="L6" s="75"/>
      <c r="M6" s="83" t="s">
        <v>39</v>
      </c>
      <c r="N6" s="75"/>
      <c r="O6" s="82" t="s">
        <v>36</v>
      </c>
      <c r="P6" s="75"/>
      <c r="Q6" s="148" t="s">
        <v>40</v>
      </c>
      <c r="T6" s="312"/>
    </row>
    <row r="7" spans="1:29" ht="17.25">
      <c r="A7" s="313" t="s">
        <v>104</v>
      </c>
      <c r="B7" s="310"/>
      <c r="C7" s="145">
        <v>0</v>
      </c>
      <c r="D7" s="314"/>
      <c r="E7" s="145">
        <f>IFERROR(VLOOKUP(A7,اوراق!$A$9:$AG$14,23,0),0)</f>
        <v>0</v>
      </c>
      <c r="F7" s="67"/>
      <c r="G7" s="76">
        <v>0</v>
      </c>
      <c r="H7" s="74"/>
      <c r="I7" s="67">
        <f>E7+G7</f>
        <v>0</v>
      </c>
      <c r="J7" s="12"/>
      <c r="K7" s="85">
        <v>245000</v>
      </c>
      <c r="L7" s="75"/>
      <c r="M7" s="145">
        <v>245000000000</v>
      </c>
      <c r="N7" s="76"/>
      <c r="O7" s="76">
        <v>-239361297902</v>
      </c>
      <c r="P7" s="74"/>
      <c r="Q7" s="67">
        <f>M7+O7</f>
        <v>5638702098</v>
      </c>
      <c r="R7" s="131" t="s">
        <v>163</v>
      </c>
      <c r="S7" s="131">
        <v>32000</v>
      </c>
      <c r="T7" s="131">
        <v>22776670980</v>
      </c>
      <c r="U7" s="131">
        <v>3006759337</v>
      </c>
      <c r="V7" s="131">
        <f>T7-U7</f>
        <v>19769911643</v>
      </c>
      <c r="X7" s="7">
        <v>-78000000</v>
      </c>
      <c r="Y7" s="131">
        <f t="shared" ref="Y7" si="0">X7-Q7</f>
        <v>-5716702098</v>
      </c>
      <c r="Z7" s="131"/>
      <c r="AA7" s="131"/>
      <c r="AB7" s="131"/>
      <c r="AC7" s="313"/>
    </row>
    <row r="8" spans="1:29" ht="17.649999999999999" thickBot="1">
      <c r="C8" s="222"/>
      <c r="D8" s="222"/>
      <c r="E8" s="185">
        <f>SUM(E7:E7)</f>
        <v>0</v>
      </c>
      <c r="F8" s="222"/>
      <c r="G8" s="185">
        <f>SUM(G7:G7)</f>
        <v>0</v>
      </c>
      <c r="H8" s="222"/>
      <c r="I8" s="185">
        <f>SUM(I7:I7)</f>
        <v>0</v>
      </c>
      <c r="J8" s="222"/>
      <c r="K8" s="222"/>
      <c r="L8" s="222"/>
      <c r="M8" s="185">
        <f>SUM(M7:M7)</f>
        <v>245000000000</v>
      </c>
      <c r="N8" s="222"/>
      <c r="O8" s="185">
        <f>SUM(O7:O7)</f>
        <v>-239361297902</v>
      </c>
      <c r="P8" s="222"/>
      <c r="Q8" s="185">
        <f>SUM(Q7:Q7)</f>
        <v>5638702098</v>
      </c>
      <c r="R8" s="131" t="s">
        <v>164</v>
      </c>
      <c r="S8" s="131">
        <v>380000</v>
      </c>
      <c r="T8" s="131">
        <v>409299670616</v>
      </c>
      <c r="U8" s="7">
        <v>-78000000</v>
      </c>
      <c r="V8" s="131">
        <f>T8-U8</f>
        <v>409377670616</v>
      </c>
      <c r="AC8" s="313"/>
    </row>
    <row r="9" spans="1:29" ht="20.25" customHeight="1" thickTop="1">
      <c r="A9" s="99"/>
      <c r="B9" s="99"/>
      <c r="C9" s="99"/>
      <c r="D9" s="99"/>
      <c r="E9" s="68"/>
      <c r="F9" s="68"/>
      <c r="G9" s="68"/>
      <c r="H9" s="68"/>
      <c r="I9" s="12"/>
      <c r="J9" s="12"/>
      <c r="K9" s="12"/>
      <c r="L9" s="12"/>
      <c r="M9" s="12"/>
      <c r="N9" s="12"/>
      <c r="O9" s="12"/>
      <c r="P9" s="12"/>
      <c r="Q9" s="12"/>
      <c r="R9" s="131"/>
      <c r="S9" s="131">
        <f>SUM(S7:S8)</f>
        <v>412000</v>
      </c>
      <c r="T9" s="131">
        <f>SUM(T7:T8)</f>
        <v>432076341596</v>
      </c>
      <c r="U9" s="131">
        <f>SUM(U7:U8)</f>
        <v>2928759337</v>
      </c>
      <c r="V9" s="131">
        <f>SUM(V7:V8)</f>
        <v>429147582259</v>
      </c>
    </row>
    <row r="10" spans="1:29" ht="17.25">
      <c r="A10" s="412" t="s">
        <v>38</v>
      </c>
      <c r="B10" s="413"/>
      <c r="C10" s="413"/>
      <c r="D10" s="413"/>
      <c r="E10" s="413"/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413"/>
      <c r="Q10" s="414"/>
      <c r="R10" s="131"/>
    </row>
  </sheetData>
  <autoFilter ref="A6:Q6" xr:uid="{00000000-0009-0000-0000-000008000000}">
    <sortState xmlns:xlrd2="http://schemas.microsoft.com/office/spreadsheetml/2017/richdata2" ref="A7:Q14">
      <sortCondition descending="1" ref="Q6"/>
    </sortState>
  </autoFilter>
  <mergeCells count="8">
    <mergeCell ref="A1:Q1"/>
    <mergeCell ref="A2:Q2"/>
    <mergeCell ref="A3:Q3"/>
    <mergeCell ref="A10:Q10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 tint="0.79998168889431442"/>
    <pageSetUpPr fitToPage="1"/>
  </sheetPr>
  <dimension ref="A1:Q14"/>
  <sheetViews>
    <sheetView rightToLeft="1" tabSelected="1" view="pageBreakPreview" topLeftCell="B1" zoomScaleNormal="100" zoomScaleSheetLayoutView="100" workbookViewId="0">
      <selection sqref="A1:Q1"/>
    </sheetView>
  </sheetViews>
  <sheetFormatPr defaultColWidth="9.1328125" defaultRowHeight="17.25"/>
  <cols>
    <col min="1" max="1" width="36.265625" style="7" bestFit="1" customWidth="1"/>
    <col min="2" max="2" width="0.59765625" style="7" customWidth="1"/>
    <col min="3" max="3" width="12.73046875" style="12" customWidth="1"/>
    <col min="4" max="4" width="0.86328125" style="12" customWidth="1"/>
    <col min="5" max="5" width="25" style="12" customWidth="1"/>
    <col min="6" max="6" width="0.86328125" style="12" customWidth="1"/>
    <col min="7" max="7" width="25.265625" style="12" customWidth="1"/>
    <col min="8" max="8" width="0.73046875" style="12" customWidth="1"/>
    <col min="9" max="9" width="25.1328125" style="12" customWidth="1"/>
    <col min="10" max="10" width="1.3984375" style="12" customWidth="1"/>
    <col min="11" max="11" width="12.1328125" style="12" customWidth="1"/>
    <col min="12" max="12" width="1.1328125" style="12" customWidth="1"/>
    <col min="13" max="13" width="26.1328125" style="12" customWidth="1"/>
    <col min="14" max="14" width="1" style="12" customWidth="1"/>
    <col min="15" max="15" width="25" style="12" customWidth="1"/>
    <col min="16" max="16" width="1.1328125" style="12" customWidth="1"/>
    <col min="17" max="17" width="21.59765625" style="12" customWidth="1"/>
    <col min="18" max="16384" width="9.1328125" style="7"/>
  </cols>
  <sheetData>
    <row r="1" spans="1:17" ht="17.649999999999999">
      <c r="A1" s="397" t="s">
        <v>80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</row>
    <row r="2" spans="1:17" ht="17.649999999999999">
      <c r="A2" s="397" t="s">
        <v>50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</row>
    <row r="3" spans="1:17" ht="17.649999999999999">
      <c r="A3" s="397" t="str">
        <f>' سهام'!A3:W3</f>
        <v>برای ماه منتهی به 1403/11/30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</row>
    <row r="4" spans="1:17">
      <c r="A4" s="354" t="s">
        <v>56</v>
      </c>
      <c r="B4" s="354"/>
      <c r="C4" s="354"/>
      <c r="D4" s="354"/>
      <c r="E4" s="354"/>
      <c r="F4" s="354"/>
      <c r="G4" s="354"/>
      <c r="H4" s="354"/>
    </row>
    <row r="5" spans="1:17" s="315" customFormat="1" ht="16.5" customHeight="1" thickBot="1">
      <c r="A5" s="118"/>
      <c r="B5" s="118"/>
      <c r="C5" s="421" t="s">
        <v>209</v>
      </c>
      <c r="D5" s="421"/>
      <c r="E5" s="421"/>
      <c r="F5" s="421"/>
      <c r="G5" s="421"/>
      <c r="H5" s="421"/>
      <c r="I5" s="421"/>
      <c r="J5" s="75"/>
      <c r="K5" s="416" t="s">
        <v>210</v>
      </c>
      <c r="L5" s="416"/>
      <c r="M5" s="416"/>
      <c r="N5" s="416"/>
      <c r="O5" s="416"/>
      <c r="P5" s="416"/>
      <c r="Q5" s="416"/>
    </row>
    <row r="6" spans="1:17" s="315" customFormat="1" ht="27" customHeight="1" thickBot="1">
      <c r="A6" s="118" t="s">
        <v>32</v>
      </c>
      <c r="B6" s="118"/>
      <c r="C6" s="82" t="s">
        <v>3</v>
      </c>
      <c r="D6" s="75"/>
      <c r="E6" s="83" t="s">
        <v>19</v>
      </c>
      <c r="F6" s="75"/>
      <c r="G6" s="82" t="s">
        <v>36</v>
      </c>
      <c r="H6" s="75"/>
      <c r="I6" s="83" t="s">
        <v>37</v>
      </c>
      <c r="J6" s="75"/>
      <c r="K6" s="82" t="s">
        <v>3</v>
      </c>
      <c r="L6" s="75"/>
      <c r="M6" s="83" t="s">
        <v>19</v>
      </c>
      <c r="N6" s="75"/>
      <c r="O6" s="83" t="s">
        <v>36</v>
      </c>
      <c r="P6" s="75"/>
      <c r="Q6" s="151" t="s">
        <v>37</v>
      </c>
    </row>
    <row r="7" spans="1:17" s="315" customFormat="1" ht="27" customHeight="1">
      <c r="A7" s="118" t="s">
        <v>116</v>
      </c>
      <c r="B7" s="118"/>
      <c r="C7" s="85">
        <v>33574</v>
      </c>
      <c r="D7" s="75"/>
      <c r="E7" s="97">
        <f>VLOOKUP(A7,اوراق!$A$9:$AG$13,31,0)</f>
        <v>30542438562</v>
      </c>
      <c r="F7" s="75"/>
      <c r="G7" s="97">
        <v>-29977826235</v>
      </c>
      <c r="H7" s="97"/>
      <c r="I7" s="97">
        <f>E7+G7</f>
        <v>564612327</v>
      </c>
      <c r="J7" s="75"/>
      <c r="K7" s="85">
        <v>33574</v>
      </c>
      <c r="L7" s="97"/>
      <c r="M7" s="97">
        <f>VLOOKUP(A7,اوراق!$A$9:$AG$13,31,0)</f>
        <v>30542438562</v>
      </c>
      <c r="N7" s="86"/>
      <c r="O7" s="97">
        <v>-28941953954</v>
      </c>
      <c r="P7" s="97"/>
      <c r="Q7" s="150">
        <f>M7+O7</f>
        <v>1600484608</v>
      </c>
    </row>
    <row r="8" spans="1:17" s="315" customFormat="1" ht="27" customHeight="1">
      <c r="A8" s="118" t="s">
        <v>192</v>
      </c>
      <c r="B8" s="118"/>
      <c r="C8" s="85">
        <v>120000</v>
      </c>
      <c r="D8" s="75"/>
      <c r="E8" s="97">
        <f>VLOOKUP(A8,اوراق!$A$9:$AG$13,31,0)</f>
        <v>95982600000</v>
      </c>
      <c r="F8" s="75"/>
      <c r="G8" s="97">
        <v>-95982600000</v>
      </c>
      <c r="H8" s="97"/>
      <c r="I8" s="97">
        <f t="shared" ref="I8:I11" si="0">E8+G8</f>
        <v>0</v>
      </c>
      <c r="J8" s="75"/>
      <c r="K8" s="85">
        <v>120000</v>
      </c>
      <c r="L8" s="97"/>
      <c r="M8" s="97">
        <f>VLOOKUP(A8,اوراق!$A$9:$AG$13,31,0)</f>
        <v>95982600000</v>
      </c>
      <c r="N8" s="86"/>
      <c r="O8" s="97">
        <v>-96015500000</v>
      </c>
      <c r="P8" s="97"/>
      <c r="Q8" s="150">
        <f t="shared" ref="Q8:Q11" si="1">M8+O8</f>
        <v>-32900000</v>
      </c>
    </row>
    <row r="9" spans="1:17" s="315" customFormat="1" ht="27" customHeight="1">
      <c r="A9" s="118" t="s">
        <v>193</v>
      </c>
      <c r="B9" s="118"/>
      <c r="C9" s="85">
        <v>320000</v>
      </c>
      <c r="D9" s="75"/>
      <c r="E9" s="97">
        <f>VLOOKUP(A9,اوراق!$A$9:$AG$13,31,0)</f>
        <v>291555785935</v>
      </c>
      <c r="F9" s="75"/>
      <c r="G9" s="97">
        <v>-290346725117</v>
      </c>
      <c r="H9" s="97"/>
      <c r="I9" s="97">
        <f t="shared" si="0"/>
        <v>1209060818</v>
      </c>
      <c r="J9" s="75"/>
      <c r="K9" s="85">
        <v>320000</v>
      </c>
      <c r="L9" s="97"/>
      <c r="M9" s="97">
        <f>VLOOKUP(A9,اوراق!$A$9:$AG$13,31,0)</f>
        <v>291555785935</v>
      </c>
      <c r="N9" s="86"/>
      <c r="O9" s="97">
        <v>-295347345800</v>
      </c>
      <c r="P9" s="97"/>
      <c r="Q9" s="150">
        <f t="shared" si="1"/>
        <v>-3791559865</v>
      </c>
    </row>
    <row r="10" spans="1:17" s="315" customFormat="1" ht="27" customHeight="1">
      <c r="A10" s="118" t="s">
        <v>166</v>
      </c>
      <c r="B10" s="118"/>
      <c r="C10" s="85">
        <v>200000</v>
      </c>
      <c r="D10" s="75"/>
      <c r="E10" s="97">
        <f>VLOOKUP(A10,اوراق!$A$9:$AG$13,31,0)</f>
        <v>198603996500</v>
      </c>
      <c r="F10" s="75"/>
      <c r="G10" s="97">
        <v>-198603996500</v>
      </c>
      <c r="H10" s="97"/>
      <c r="I10" s="97">
        <f t="shared" si="0"/>
        <v>0</v>
      </c>
      <c r="J10" s="75"/>
      <c r="K10" s="85">
        <v>200000</v>
      </c>
      <c r="L10" s="97"/>
      <c r="M10" s="97">
        <f>VLOOKUP(A10,اوراق!$A$9:$AG$13,31,0)</f>
        <v>198603996500</v>
      </c>
      <c r="N10" s="86"/>
      <c r="O10" s="97">
        <v>-198603996500</v>
      </c>
      <c r="P10" s="97"/>
      <c r="Q10" s="150">
        <f t="shared" si="1"/>
        <v>0</v>
      </c>
    </row>
    <row r="11" spans="1:17" s="315" customFormat="1" ht="27" customHeight="1">
      <c r="A11" s="118" t="s">
        <v>117</v>
      </c>
      <c r="B11" s="118"/>
      <c r="C11" s="85">
        <v>320000</v>
      </c>
      <c r="D11" s="75"/>
      <c r="E11" s="97">
        <f>VLOOKUP(A11,اوراق!$A$9:$AG$13,31,0)</f>
        <v>317766394400</v>
      </c>
      <c r="F11" s="75"/>
      <c r="G11" s="97">
        <v>-317766394400</v>
      </c>
      <c r="H11" s="97"/>
      <c r="I11" s="97">
        <f t="shared" si="0"/>
        <v>0</v>
      </c>
      <c r="J11" s="75"/>
      <c r="K11" s="85">
        <v>320000</v>
      </c>
      <c r="L11" s="97"/>
      <c r="M11" s="97">
        <f>VLOOKUP(A11,اوراق!$A$9:$AG$13,31,0)</f>
        <v>317766394400</v>
      </c>
      <c r="N11" s="75"/>
      <c r="O11" s="97">
        <v>-317766394400</v>
      </c>
      <c r="P11" s="97"/>
      <c r="Q11" s="150">
        <f t="shared" si="1"/>
        <v>0</v>
      </c>
    </row>
    <row r="12" spans="1:17" s="315" customFormat="1" ht="18" thickBot="1">
      <c r="A12" s="316" t="s">
        <v>2</v>
      </c>
      <c r="B12" s="118"/>
      <c r="C12" s="214"/>
      <c r="D12" s="214"/>
      <c r="E12" s="317">
        <f>SUM(E7:E11)</f>
        <v>934451215397</v>
      </c>
      <c r="F12" s="214"/>
      <c r="G12" s="317">
        <f>SUM(G7:G11)</f>
        <v>-932677542252</v>
      </c>
      <c r="H12" s="214"/>
      <c r="I12" s="317">
        <f>SUM(I7:I11)</f>
        <v>1773673145</v>
      </c>
      <c r="J12" s="214"/>
      <c r="K12" s="214"/>
      <c r="L12" s="214"/>
      <c r="M12" s="317">
        <f>SUM(M7:M11)</f>
        <v>934451215397</v>
      </c>
      <c r="N12" s="214"/>
      <c r="O12" s="317">
        <f>SUM(O7:O11)</f>
        <v>-936675190654</v>
      </c>
      <c r="P12" s="214"/>
      <c r="Q12" s="317">
        <f>SUM(Q7:Q11)</f>
        <v>-2223975257</v>
      </c>
    </row>
    <row r="13" spans="1:17" s="315" customFormat="1" ht="17.649999999999999" thickTop="1">
      <c r="A13" s="118"/>
      <c r="B13" s="118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1:17" s="315" customFormat="1" ht="24.75" customHeight="1">
      <c r="A14" s="418" t="s">
        <v>38</v>
      </c>
      <c r="B14" s="419"/>
      <c r="C14" s="419"/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20"/>
    </row>
  </sheetData>
  <autoFilter ref="A6:Q6" xr:uid="{00000000-0009-0000-0000-000009000000}">
    <sortState xmlns:xlrd2="http://schemas.microsoft.com/office/spreadsheetml/2017/richdata2" ref="A7:Q21">
      <sortCondition descending="1" ref="Q6"/>
    </sortState>
  </autoFilter>
  <mergeCells count="7">
    <mergeCell ref="A14:Q14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79998168889431442"/>
    <pageSetUpPr fitToPage="1"/>
  </sheetPr>
  <dimension ref="A1:W16"/>
  <sheetViews>
    <sheetView rightToLeft="1" view="pageBreakPreview" topLeftCell="A13" zoomScale="70" zoomScaleNormal="100" zoomScaleSheetLayoutView="70" workbookViewId="0">
      <selection activeCell="A10" sqref="A10"/>
    </sheetView>
  </sheetViews>
  <sheetFormatPr defaultColWidth="9.1328125" defaultRowHeight="24.75"/>
  <cols>
    <col min="1" max="1" width="59.86328125" style="20" customWidth="1"/>
    <col min="2" max="2" width="1.86328125" style="20" customWidth="1"/>
    <col min="3" max="3" width="11.3984375" style="24" customWidth="1"/>
    <col min="4" max="4" width="1.1328125" style="24" customWidth="1"/>
    <col min="5" max="5" width="24.86328125" style="24" customWidth="1"/>
    <col min="6" max="6" width="1.3984375" style="24" customWidth="1"/>
    <col min="7" max="7" width="22.265625" style="24" customWidth="1"/>
    <col min="8" max="8" width="1.59765625" style="24" customWidth="1"/>
    <col min="9" max="9" width="20.59765625" style="24" bestFit="1" customWidth="1"/>
    <col min="10" max="10" width="29.1328125" style="24" bestFit="1" customWidth="1"/>
    <col min="11" max="11" width="1.3984375" style="24" customWidth="1"/>
    <col min="12" max="12" width="20.73046875" style="24" customWidth="1"/>
    <col min="13" max="13" width="29.1328125" style="24" customWidth="1"/>
    <col min="14" max="14" width="1.1328125" style="24" customWidth="1"/>
    <col min="15" max="15" width="13" style="24" customWidth="1"/>
    <col min="16" max="16" width="1.3984375" style="24" customWidth="1"/>
    <col min="17" max="17" width="18.73046875" style="24" customWidth="1"/>
    <col min="18" max="18" width="1.59765625" style="24" customWidth="1"/>
    <col min="19" max="19" width="24.265625" style="24" customWidth="1"/>
    <col min="20" max="20" width="1.86328125" style="24" customWidth="1"/>
    <col min="21" max="21" width="37.3984375" style="24" bestFit="1" customWidth="1"/>
    <col min="22" max="22" width="1.59765625" style="20" customWidth="1"/>
    <col min="23" max="23" width="21.86328125" style="31" customWidth="1"/>
    <col min="24" max="24" width="10.1328125" style="20" bestFit="1" customWidth="1"/>
    <col min="25" max="16384" width="9.1328125" style="20"/>
  </cols>
  <sheetData>
    <row r="1" spans="1:23" ht="25.15">
      <c r="A1" s="327" t="s">
        <v>80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</row>
    <row r="2" spans="1:23" ht="25.15">
      <c r="A2" s="327" t="s">
        <v>44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</row>
    <row r="3" spans="1:23" ht="25.15">
      <c r="A3" s="327" t="s">
        <v>207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</row>
    <row r="4" spans="1:23" ht="24.75" customHeight="1">
      <c r="A4" s="334" t="s">
        <v>23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</row>
    <row r="5" spans="1:23" ht="25.15">
      <c r="A5" s="334" t="s">
        <v>24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</row>
    <row r="7" spans="1:23" ht="36.75" customHeight="1" thickBot="1">
      <c r="A7" s="1"/>
      <c r="B7" s="2"/>
      <c r="C7" s="319" t="s">
        <v>190</v>
      </c>
      <c r="D7" s="319"/>
      <c r="E7" s="319"/>
      <c r="F7" s="319"/>
      <c r="G7" s="319"/>
      <c r="H7" s="3"/>
      <c r="I7" s="335" t="s">
        <v>7</v>
      </c>
      <c r="J7" s="335"/>
      <c r="K7" s="335"/>
      <c r="L7" s="335"/>
      <c r="M7" s="335"/>
      <c r="O7" s="320" t="s">
        <v>208</v>
      </c>
      <c r="P7" s="320"/>
      <c r="Q7" s="320"/>
      <c r="R7" s="320"/>
      <c r="S7" s="320"/>
      <c r="T7" s="320"/>
      <c r="U7" s="320"/>
      <c r="V7" s="320"/>
      <c r="W7" s="320"/>
    </row>
    <row r="8" spans="1:23" ht="29.25" customHeight="1">
      <c r="A8" s="328" t="s">
        <v>1</v>
      </c>
      <c r="B8" s="4"/>
      <c r="C8" s="333" t="s">
        <v>3</v>
      </c>
      <c r="D8" s="321"/>
      <c r="E8" s="333" t="s">
        <v>0</v>
      </c>
      <c r="F8" s="321"/>
      <c r="G8" s="323" t="s">
        <v>19</v>
      </c>
      <c r="H8" s="23"/>
      <c r="I8" s="330" t="s">
        <v>4</v>
      </c>
      <c r="J8" s="330"/>
      <c r="K8" s="25"/>
      <c r="L8" s="330" t="s">
        <v>5</v>
      </c>
      <c r="M8" s="330"/>
      <c r="O8" s="331" t="s">
        <v>3</v>
      </c>
      <c r="P8" s="321"/>
      <c r="Q8" s="323" t="s">
        <v>28</v>
      </c>
      <c r="R8" s="22"/>
      <c r="S8" s="331" t="s">
        <v>0</v>
      </c>
      <c r="T8" s="321"/>
      <c r="U8" s="323" t="s">
        <v>19</v>
      </c>
      <c r="V8" s="5"/>
      <c r="W8" s="325" t="s">
        <v>20</v>
      </c>
    </row>
    <row r="9" spans="1:23" ht="49.5" customHeight="1" thickBot="1">
      <c r="A9" s="329"/>
      <c r="B9" s="4"/>
      <c r="C9" s="332"/>
      <c r="D9" s="322"/>
      <c r="E9" s="332"/>
      <c r="F9" s="322"/>
      <c r="G9" s="324"/>
      <c r="H9" s="23"/>
      <c r="I9" s="26" t="s">
        <v>3</v>
      </c>
      <c r="J9" s="26" t="s">
        <v>0</v>
      </c>
      <c r="K9" s="25"/>
      <c r="L9" s="26" t="s">
        <v>3</v>
      </c>
      <c r="M9" s="26" t="s">
        <v>43</v>
      </c>
      <c r="O9" s="332"/>
      <c r="P9" s="321"/>
      <c r="Q9" s="324"/>
      <c r="R9" s="22"/>
      <c r="S9" s="332"/>
      <c r="T9" s="321"/>
      <c r="U9" s="324"/>
      <c r="V9" s="5"/>
      <c r="W9" s="326"/>
    </row>
    <row r="10" spans="1:23" ht="40.15" customHeight="1" thickBot="1">
      <c r="A10" s="153" t="s">
        <v>165</v>
      </c>
      <c r="C10" s="24">
        <v>0</v>
      </c>
      <c r="E10" s="24">
        <v>0</v>
      </c>
      <c r="G10" s="24">
        <v>0</v>
      </c>
      <c r="I10" s="24">
        <v>0</v>
      </c>
      <c r="J10" s="24">
        <v>0</v>
      </c>
      <c r="K10" s="6"/>
      <c r="L10" s="24">
        <v>0</v>
      </c>
      <c r="M10" s="24">
        <v>0</v>
      </c>
      <c r="O10" s="24">
        <v>0</v>
      </c>
      <c r="Q10" s="24">
        <v>0</v>
      </c>
      <c r="S10" s="24">
        <v>0</v>
      </c>
      <c r="U10" s="24">
        <v>0</v>
      </c>
      <c r="V10" s="6"/>
      <c r="W10" s="51">
        <f>U10/درآمدها!$J$5</f>
        <v>0</v>
      </c>
    </row>
    <row r="11" spans="1:23" ht="42" customHeight="1" thickBot="1">
      <c r="A11" s="20" t="s">
        <v>2</v>
      </c>
      <c r="B11" s="4"/>
      <c r="D11" s="27">
        <f>SUM(D10:D10)</f>
        <v>0</v>
      </c>
      <c r="E11" s="27">
        <f>SUM(E10:E10)</f>
        <v>0</v>
      </c>
      <c r="G11" s="27">
        <f>SUM(G10:G10)</f>
        <v>0</v>
      </c>
      <c r="J11" s="27">
        <f>SUM(J10:J10)</f>
        <v>0</v>
      </c>
      <c r="M11" s="27">
        <f>SUM(M10:M10)</f>
        <v>0</v>
      </c>
      <c r="S11" s="27">
        <f>SUM(S10:S10)</f>
        <v>0</v>
      </c>
      <c r="U11" s="28">
        <f>SUM(U10:U10)</f>
        <v>0</v>
      </c>
      <c r="W11" s="29">
        <f>SUM(W10:W10)</f>
        <v>0</v>
      </c>
    </row>
    <row r="12" spans="1:23" ht="25.15" thickTop="1">
      <c r="U12" s="30"/>
    </row>
    <row r="14" spans="1:23">
      <c r="E14" s="58"/>
      <c r="G14" s="58"/>
      <c r="S14" s="58"/>
      <c r="U14" s="58"/>
    </row>
    <row r="15" spans="1:23">
      <c r="G15" s="24" t="s">
        <v>52</v>
      </c>
    </row>
    <row r="16" spans="1:23">
      <c r="E16" s="58"/>
      <c r="G16" s="58"/>
      <c r="S16" s="58"/>
      <c r="U16" s="58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79998168889431442"/>
    <pageSetUpPr fitToPage="1"/>
  </sheetPr>
  <dimension ref="A1:AH25"/>
  <sheetViews>
    <sheetView rightToLeft="1" view="pageBreakPreview" topLeftCell="B1" zoomScale="50" zoomScaleNormal="50" zoomScaleSheetLayoutView="50" workbookViewId="0">
      <selection activeCell="M5" sqref="K1:M1048576"/>
    </sheetView>
  </sheetViews>
  <sheetFormatPr defaultColWidth="9.1328125" defaultRowHeight="13.15"/>
  <cols>
    <col min="1" max="1" width="55.86328125" style="235" customWidth="1"/>
    <col min="2" max="2" width="0.59765625" style="235" customWidth="1"/>
    <col min="3" max="3" width="15.3984375" style="235" customWidth="1"/>
    <col min="4" max="4" width="0.59765625" style="235" customWidth="1"/>
    <col min="5" max="5" width="18" style="235" customWidth="1"/>
    <col min="6" max="6" width="0.59765625" style="235" customWidth="1"/>
    <col min="7" max="7" width="19.73046875" style="235" customWidth="1"/>
    <col min="8" max="8" width="0.59765625" style="235" customWidth="1"/>
    <col min="9" max="9" width="19.73046875" style="235" customWidth="1"/>
    <col min="10" max="10" width="0.3984375" style="235" customWidth="1"/>
    <col min="11" max="11" width="20.19921875" style="235" bestFit="1" customWidth="1"/>
    <col min="12" max="12" width="0.73046875" style="235" customWidth="1"/>
    <col min="13" max="13" width="17.1328125" style="235" bestFit="1" customWidth="1"/>
    <col min="14" max="14" width="1.1328125" style="235" customWidth="1"/>
    <col min="15" max="15" width="31.6640625" style="235" bestFit="1" customWidth="1"/>
    <col min="16" max="16" width="0.59765625" style="235" customWidth="1"/>
    <col min="17" max="17" width="31.6640625" style="235" bestFit="1" customWidth="1"/>
    <col min="18" max="18" width="0.59765625" style="235" customWidth="1"/>
    <col min="19" max="19" width="14.1328125" style="235" customWidth="1"/>
    <col min="20" max="20" width="20.73046875" style="235" customWidth="1"/>
    <col min="21" max="21" width="0.59765625" style="235" customWidth="1"/>
    <col min="22" max="22" width="11.3984375" style="235" customWidth="1"/>
    <col min="23" max="23" width="20.265625" style="235" customWidth="1"/>
    <col min="24" max="24" width="0.59765625" style="235" customWidth="1"/>
    <col min="25" max="25" width="17" style="235" customWidth="1"/>
    <col min="26" max="26" width="0.3984375" style="235" customWidth="1"/>
    <col min="27" max="27" width="19.73046875" style="235" customWidth="1"/>
    <col min="28" max="28" width="0.73046875" style="235" customWidth="1"/>
    <col min="29" max="29" width="31.6640625" style="235" bestFit="1" customWidth="1"/>
    <col min="30" max="30" width="0.59765625" style="235" customWidth="1"/>
    <col min="31" max="31" width="31.6640625" style="235" bestFit="1" customWidth="1"/>
    <col min="32" max="32" width="0.73046875" style="235" hidden="1" customWidth="1"/>
    <col min="33" max="33" width="16.59765625" style="235" customWidth="1"/>
    <col min="34" max="34" width="19.265625" style="235" customWidth="1"/>
    <col min="35" max="16384" width="9.1328125" style="235"/>
  </cols>
  <sheetData>
    <row r="1" spans="1:34" s="99" customFormat="1" ht="20.65">
      <c r="A1" s="345" t="s">
        <v>80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</row>
    <row r="2" spans="1:34" s="99" customFormat="1" ht="20.65">
      <c r="A2" s="345" t="s">
        <v>44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</row>
    <row r="3" spans="1:34" s="99" customFormat="1" ht="20.65">
      <c r="A3" s="345" t="str">
        <f>' سهام'!A3:W3</f>
        <v>برای ماه منتهی به 1403/11/30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</row>
    <row r="4" spans="1:34" ht="22.5">
      <c r="A4" s="346" t="s">
        <v>59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</row>
    <row r="5" spans="1:34" ht="20.65">
      <c r="A5" s="231"/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6"/>
      <c r="AB5" s="231"/>
      <c r="AC5" s="231"/>
      <c r="AD5" s="231"/>
      <c r="AE5" s="231"/>
      <c r="AF5" s="231"/>
      <c r="AG5" s="231"/>
    </row>
    <row r="6" spans="1:34" ht="27.75" customHeight="1" thickBot="1">
      <c r="A6" s="338" t="s">
        <v>60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 t="s">
        <v>190</v>
      </c>
      <c r="N6" s="338"/>
      <c r="O6" s="338"/>
      <c r="P6" s="338"/>
      <c r="Q6" s="338"/>
      <c r="R6" s="237"/>
      <c r="S6" s="347" t="s">
        <v>7</v>
      </c>
      <c r="T6" s="347"/>
      <c r="U6" s="347"/>
      <c r="V6" s="347"/>
      <c r="W6" s="347"/>
      <c r="X6" s="231"/>
      <c r="Y6" s="338" t="s">
        <v>208</v>
      </c>
      <c r="Z6" s="338"/>
      <c r="AA6" s="338"/>
      <c r="AB6" s="338"/>
      <c r="AC6" s="338"/>
      <c r="AD6" s="338"/>
      <c r="AE6" s="338"/>
      <c r="AF6" s="338"/>
      <c r="AG6" s="338"/>
    </row>
    <row r="7" spans="1:34" ht="26.25" customHeight="1">
      <c r="A7" s="336" t="s">
        <v>61</v>
      </c>
      <c r="B7" s="238"/>
      <c r="C7" s="342" t="s">
        <v>62</v>
      </c>
      <c r="D7" s="238"/>
      <c r="E7" s="344" t="s">
        <v>67</v>
      </c>
      <c r="F7" s="238"/>
      <c r="G7" s="337" t="s">
        <v>63</v>
      </c>
      <c r="H7" s="238"/>
      <c r="I7" s="342" t="s">
        <v>21</v>
      </c>
      <c r="J7" s="238"/>
      <c r="K7" s="344" t="s">
        <v>64</v>
      </c>
      <c r="L7" s="239"/>
      <c r="M7" s="340" t="s">
        <v>3</v>
      </c>
      <c r="N7" s="337"/>
      <c r="O7" s="337" t="s">
        <v>0</v>
      </c>
      <c r="P7" s="337"/>
      <c r="Q7" s="337" t="s">
        <v>19</v>
      </c>
      <c r="R7" s="238"/>
      <c r="S7" s="339" t="s">
        <v>4</v>
      </c>
      <c r="T7" s="339"/>
      <c r="U7" s="231"/>
      <c r="V7" s="339" t="s">
        <v>5</v>
      </c>
      <c r="W7" s="339"/>
      <c r="X7" s="231"/>
      <c r="Y7" s="340" t="s">
        <v>3</v>
      </c>
      <c r="Z7" s="336"/>
      <c r="AA7" s="337" t="s">
        <v>65</v>
      </c>
      <c r="AB7" s="238"/>
      <c r="AC7" s="337" t="s">
        <v>0</v>
      </c>
      <c r="AD7" s="336"/>
      <c r="AE7" s="337" t="s">
        <v>19</v>
      </c>
      <c r="AF7" s="240"/>
      <c r="AG7" s="337" t="s">
        <v>20</v>
      </c>
      <c r="AH7" s="233"/>
    </row>
    <row r="8" spans="1:34" s="243" customFormat="1" ht="55.5" customHeight="1" thickBot="1">
      <c r="A8" s="338"/>
      <c r="B8" s="238"/>
      <c r="C8" s="343"/>
      <c r="D8" s="238"/>
      <c r="E8" s="343"/>
      <c r="F8" s="238"/>
      <c r="G8" s="338"/>
      <c r="H8" s="238"/>
      <c r="I8" s="343"/>
      <c r="J8" s="238"/>
      <c r="K8" s="343"/>
      <c r="L8" s="237"/>
      <c r="M8" s="341"/>
      <c r="N8" s="336"/>
      <c r="O8" s="338"/>
      <c r="P8" s="336"/>
      <c r="Q8" s="338"/>
      <c r="R8" s="238"/>
      <c r="S8" s="241" t="s">
        <v>3</v>
      </c>
      <c r="T8" s="241" t="s">
        <v>0</v>
      </c>
      <c r="U8" s="234"/>
      <c r="V8" s="241" t="s">
        <v>3</v>
      </c>
      <c r="W8" s="241" t="s">
        <v>43</v>
      </c>
      <c r="X8" s="234"/>
      <c r="Y8" s="341"/>
      <c r="Z8" s="336"/>
      <c r="AA8" s="338"/>
      <c r="AB8" s="238"/>
      <c r="AC8" s="338"/>
      <c r="AD8" s="336"/>
      <c r="AE8" s="338"/>
      <c r="AF8" s="240"/>
      <c r="AG8" s="338"/>
      <c r="AH8" s="242"/>
    </row>
    <row r="9" spans="1:34" s="243" customFormat="1" ht="41.25" customHeight="1">
      <c r="A9" s="153" t="s">
        <v>116</v>
      </c>
      <c r="B9" s="238"/>
      <c r="C9" s="237" t="s">
        <v>83</v>
      </c>
      <c r="D9" s="238"/>
      <c r="E9" s="237" t="s">
        <v>83</v>
      </c>
      <c r="F9" s="238"/>
      <c r="G9" s="244" t="s">
        <v>118</v>
      </c>
      <c r="H9" s="244"/>
      <c r="I9" s="244" t="s">
        <v>120</v>
      </c>
      <c r="J9" s="238"/>
      <c r="K9" s="60">
        <v>1000000</v>
      </c>
      <c r="L9" s="237"/>
      <c r="M9" s="30">
        <v>33574</v>
      </c>
      <c r="N9" s="238"/>
      <c r="O9" s="30">
        <v>24736934728</v>
      </c>
      <c r="P9" s="238"/>
      <c r="Q9" s="30">
        <v>29977826235</v>
      </c>
      <c r="R9" s="238"/>
      <c r="S9" s="30">
        <v>0</v>
      </c>
      <c r="T9" s="30">
        <v>0</v>
      </c>
      <c r="U9" s="234"/>
      <c r="V9" s="30">
        <v>0</v>
      </c>
      <c r="W9" s="30">
        <v>0</v>
      </c>
      <c r="X9" s="234"/>
      <c r="Y9" s="30">
        <v>33574</v>
      </c>
      <c r="Z9" s="238"/>
      <c r="AA9" s="87">
        <v>909870</v>
      </c>
      <c r="AB9" s="238"/>
      <c r="AC9" s="30">
        <v>24736934728</v>
      </c>
      <c r="AD9" s="30"/>
      <c r="AE9" s="30">
        <v>30542438562</v>
      </c>
      <c r="AF9" s="240"/>
      <c r="AG9" s="245">
        <f>AE9/درآمدها!$J$5</f>
        <v>1.6671744893924555E-2</v>
      </c>
      <c r="AH9" s="242">
        <f>M9+S9-V9-Y9</f>
        <v>0</v>
      </c>
    </row>
    <row r="10" spans="1:34" s="243" customFormat="1" ht="41.25" customHeight="1">
      <c r="A10" s="153" t="s">
        <v>192</v>
      </c>
      <c r="B10" s="238"/>
      <c r="C10" s="237" t="s">
        <v>83</v>
      </c>
      <c r="D10" s="238"/>
      <c r="E10" s="237" t="s">
        <v>83</v>
      </c>
      <c r="F10" s="238"/>
      <c r="G10" s="244" t="s">
        <v>194</v>
      </c>
      <c r="H10" s="244"/>
      <c r="I10" s="244" t="s">
        <v>196</v>
      </c>
      <c r="J10" s="238"/>
      <c r="K10" s="60">
        <v>1000000</v>
      </c>
      <c r="L10" s="237"/>
      <c r="M10" s="30">
        <v>120000</v>
      </c>
      <c r="N10" s="238"/>
      <c r="O10" s="30">
        <v>96015500000</v>
      </c>
      <c r="P10" s="238"/>
      <c r="Q10" s="30">
        <v>95982600000</v>
      </c>
      <c r="R10" s="238"/>
      <c r="S10" s="30">
        <v>0</v>
      </c>
      <c r="T10" s="30">
        <v>0</v>
      </c>
      <c r="U10" s="234"/>
      <c r="V10" s="30">
        <v>0</v>
      </c>
      <c r="W10" s="30">
        <v>0</v>
      </c>
      <c r="X10" s="234"/>
      <c r="Y10" s="30">
        <v>120000</v>
      </c>
      <c r="Z10" s="238"/>
      <c r="AA10" s="87">
        <v>800000</v>
      </c>
      <c r="AB10" s="238"/>
      <c r="AC10" s="30">
        <v>96015500000</v>
      </c>
      <c r="AD10" s="30"/>
      <c r="AE10" s="30">
        <v>95982600000</v>
      </c>
      <c r="AF10" s="240"/>
      <c r="AG10" s="245">
        <f>AE10/درآمدها!$J$5</f>
        <v>5.2392588699401402E-2</v>
      </c>
      <c r="AH10" s="242">
        <f t="shared" ref="AH10:AH13" si="0">M10+S10-V10-Y10</f>
        <v>0</v>
      </c>
    </row>
    <row r="11" spans="1:34" s="243" customFormat="1" ht="41.25" customHeight="1">
      <c r="A11" s="153" t="s">
        <v>117</v>
      </c>
      <c r="B11" s="238"/>
      <c r="C11" s="237" t="s">
        <v>83</v>
      </c>
      <c r="D11" s="238"/>
      <c r="E11" s="237" t="s">
        <v>83</v>
      </c>
      <c r="F11" s="238"/>
      <c r="G11" s="244" t="s">
        <v>119</v>
      </c>
      <c r="H11" s="244"/>
      <c r="I11" s="244" t="s">
        <v>121</v>
      </c>
      <c r="J11" s="238"/>
      <c r="K11" s="60">
        <v>1000000</v>
      </c>
      <c r="L11" s="237"/>
      <c r="M11" s="30">
        <v>320000</v>
      </c>
      <c r="N11" s="238"/>
      <c r="O11" s="30">
        <v>320000000000</v>
      </c>
      <c r="P11" s="238"/>
      <c r="Q11" s="30">
        <v>317766394400</v>
      </c>
      <c r="R11" s="238"/>
      <c r="S11" s="30">
        <v>0</v>
      </c>
      <c r="T11" s="30">
        <v>0</v>
      </c>
      <c r="U11" s="234"/>
      <c r="V11" s="30">
        <v>0</v>
      </c>
      <c r="W11" s="30">
        <v>0</v>
      </c>
      <c r="X11" s="234"/>
      <c r="Y11" s="30">
        <v>320000</v>
      </c>
      <c r="Z11" s="238"/>
      <c r="AA11" s="87">
        <v>993200</v>
      </c>
      <c r="AB11" s="238"/>
      <c r="AC11" s="30">
        <v>320000000000</v>
      </c>
      <c r="AD11" s="30"/>
      <c r="AE11" s="30">
        <v>317766394400</v>
      </c>
      <c r="AF11" s="240"/>
      <c r="AG11" s="245">
        <f>AE11/درآمدها!$J$5</f>
        <v>0.17345439698748491</v>
      </c>
      <c r="AH11" s="242">
        <f t="shared" si="0"/>
        <v>0</v>
      </c>
    </row>
    <row r="12" spans="1:34" s="243" customFormat="1" ht="41.25" customHeight="1">
      <c r="A12" s="153" t="s">
        <v>193</v>
      </c>
      <c r="B12" s="238"/>
      <c r="C12" s="237" t="s">
        <v>83</v>
      </c>
      <c r="D12" s="238"/>
      <c r="E12" s="237" t="s">
        <v>83</v>
      </c>
      <c r="F12" s="238"/>
      <c r="G12" s="244" t="s">
        <v>195</v>
      </c>
      <c r="H12" s="244"/>
      <c r="I12" s="244" t="s">
        <v>197</v>
      </c>
      <c r="J12" s="238"/>
      <c r="K12" s="60">
        <v>1000000</v>
      </c>
      <c r="L12" s="237"/>
      <c r="M12" s="30">
        <v>320000</v>
      </c>
      <c r="N12" s="238"/>
      <c r="O12" s="30">
        <v>295347345800</v>
      </c>
      <c r="P12" s="238"/>
      <c r="Q12" s="30">
        <v>290346725117</v>
      </c>
      <c r="R12" s="238"/>
      <c r="S12" s="30">
        <v>0</v>
      </c>
      <c r="T12" s="30">
        <v>0</v>
      </c>
      <c r="U12" s="234"/>
      <c r="V12" s="30">
        <v>0</v>
      </c>
      <c r="W12" s="30">
        <v>0</v>
      </c>
      <c r="X12" s="234"/>
      <c r="Y12" s="30">
        <v>320000</v>
      </c>
      <c r="Z12" s="238"/>
      <c r="AA12" s="87">
        <v>911277</v>
      </c>
      <c r="AB12" s="238"/>
      <c r="AC12" s="30">
        <v>295347345800</v>
      </c>
      <c r="AD12" s="30"/>
      <c r="AE12" s="30">
        <v>291555785935</v>
      </c>
      <c r="AF12" s="240"/>
      <c r="AG12" s="245">
        <f>AE12/درآمدها!$J$5</f>
        <v>0.15914720350796058</v>
      </c>
      <c r="AH12" s="242">
        <f t="shared" si="0"/>
        <v>0</v>
      </c>
    </row>
    <row r="13" spans="1:34" s="243" customFormat="1" ht="41.25" customHeight="1" thickBot="1">
      <c r="A13" s="153" t="s">
        <v>166</v>
      </c>
      <c r="B13" s="238"/>
      <c r="C13" s="237" t="s">
        <v>83</v>
      </c>
      <c r="D13" s="238"/>
      <c r="E13" s="237" t="s">
        <v>83</v>
      </c>
      <c r="F13" s="238"/>
      <c r="G13" s="244" t="s">
        <v>167</v>
      </c>
      <c r="H13" s="20"/>
      <c r="I13" s="244" t="s">
        <v>168</v>
      </c>
      <c r="J13" s="238"/>
      <c r="K13" s="60">
        <v>1000000</v>
      </c>
      <c r="L13" s="237"/>
      <c r="M13" s="30">
        <v>200000</v>
      </c>
      <c r="N13" s="96">
        <v>200036250000</v>
      </c>
      <c r="O13" s="30">
        <v>211031593750</v>
      </c>
      <c r="P13" s="30"/>
      <c r="Q13" s="30">
        <v>198603996500</v>
      </c>
      <c r="R13" s="30"/>
      <c r="S13" s="30">
        <v>0</v>
      </c>
      <c r="T13" s="30">
        <v>0</v>
      </c>
      <c r="U13" s="30"/>
      <c r="V13" s="30">
        <v>0</v>
      </c>
      <c r="W13" s="30">
        <v>0</v>
      </c>
      <c r="X13" s="30"/>
      <c r="Y13" s="30">
        <v>200000</v>
      </c>
      <c r="Z13" s="30"/>
      <c r="AA13" s="87">
        <v>993200</v>
      </c>
      <c r="AB13" s="30"/>
      <c r="AC13" s="30">
        <v>211031593750</v>
      </c>
      <c r="AD13" s="30"/>
      <c r="AE13" s="30">
        <v>198603996500</v>
      </c>
      <c r="AF13" s="246"/>
      <c r="AG13" s="245">
        <f>AE13/درآمدها!$J$5</f>
        <v>0.10840899811717808</v>
      </c>
      <c r="AH13" s="242">
        <f t="shared" si="0"/>
        <v>0</v>
      </c>
    </row>
    <row r="14" spans="1:34" s="250" customFormat="1" ht="25.5" thickBot="1">
      <c r="A14" s="1" t="s">
        <v>2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47"/>
      <c r="N14" s="89"/>
      <c r="O14" s="248">
        <f>SUM(O9:O13)</f>
        <v>947131374278</v>
      </c>
      <c r="P14" s="235"/>
      <c r="Q14" s="248">
        <f>SUM(Q9:Q13)</f>
        <v>932677542252</v>
      </c>
      <c r="R14" s="235"/>
      <c r="S14" s="247"/>
      <c r="T14" s="248">
        <f>SUM(T9:T13)</f>
        <v>0</v>
      </c>
      <c r="U14" s="235"/>
      <c r="V14" s="247"/>
      <c r="W14" s="248">
        <f>SUM(W9:X13)</f>
        <v>0</v>
      </c>
      <c r="X14" s="235"/>
      <c r="Y14" s="247"/>
      <c r="Z14" s="235"/>
      <c r="AA14" s="235"/>
      <c r="AB14" s="235"/>
      <c r="AC14" s="248">
        <f>SUM(AC9:AC13)</f>
        <v>947131374278</v>
      </c>
      <c r="AD14" s="235"/>
      <c r="AE14" s="248">
        <f>SUM(AE9:AE13)</f>
        <v>934451215397</v>
      </c>
      <c r="AF14" s="235"/>
      <c r="AG14" s="164">
        <f>SUM(AG9:AG13)</f>
        <v>0.51007493220594946</v>
      </c>
      <c r="AH14" s="249"/>
    </row>
    <row r="15" spans="1:34" s="251" customFormat="1" ht="25.5" thickTop="1">
      <c r="M15" s="235"/>
      <c r="N15" s="235"/>
      <c r="P15" s="235"/>
      <c r="R15" s="235"/>
      <c r="S15" s="235"/>
      <c r="U15" s="235"/>
      <c r="V15" s="235"/>
      <c r="X15" s="235"/>
      <c r="Y15" s="235"/>
      <c r="Z15" s="235"/>
      <c r="AA15" s="235"/>
      <c r="AB15" s="235"/>
      <c r="AD15" s="235"/>
      <c r="AF15" s="235"/>
    </row>
    <row r="16" spans="1:34" ht="30.75" customHeight="1">
      <c r="M16" s="252"/>
      <c r="O16" s="253"/>
      <c r="Q16" s="253"/>
      <c r="S16" s="252"/>
      <c r="T16" s="253"/>
      <c r="V16" s="252"/>
      <c r="W16" s="253"/>
      <c r="Y16" s="252"/>
    </row>
    <row r="17" spans="13:31" ht="33.6" customHeight="1">
      <c r="M17" s="253"/>
      <c r="O17" s="252"/>
      <c r="Q17" s="253"/>
      <c r="S17" s="253"/>
      <c r="T17" s="252"/>
      <c r="V17" s="253"/>
      <c r="W17" s="252"/>
      <c r="Y17" s="253"/>
      <c r="AA17" s="253"/>
      <c r="AC17" s="254"/>
      <c r="AE17" s="253"/>
    </row>
    <row r="18" spans="13:31">
      <c r="M18" s="252"/>
      <c r="Q18" s="252"/>
      <c r="S18" s="252"/>
      <c r="V18" s="252"/>
      <c r="Y18" s="252"/>
      <c r="AA18" s="253"/>
      <c r="AE18" s="252"/>
    </row>
    <row r="19" spans="13:31">
      <c r="AA19" s="252"/>
      <c r="AC19" s="252"/>
      <c r="AD19" s="252"/>
      <c r="AE19" s="252"/>
    </row>
    <row r="23" spans="13:31">
      <c r="AC23" s="253"/>
      <c r="AE23" s="253"/>
    </row>
    <row r="24" spans="13:31" ht="22.5" customHeight="1">
      <c r="AC24" s="252"/>
      <c r="AE24" s="253"/>
    </row>
    <row r="25" spans="13:31">
      <c r="AE25" s="252"/>
    </row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G22"/>
  <sheetViews>
    <sheetView rightToLeft="1" view="pageBreakPreview" zoomScale="85" zoomScaleNormal="56" zoomScaleSheetLayoutView="85" workbookViewId="0">
      <selection activeCell="G14" sqref="G14"/>
    </sheetView>
  </sheetViews>
  <sheetFormatPr defaultRowHeight="14.25"/>
  <cols>
    <col min="1" max="1" width="40" bestFit="1" customWidth="1"/>
    <col min="2" max="2" width="2" customWidth="1"/>
    <col min="3" max="3" width="12.59765625" customWidth="1"/>
    <col min="4" max="4" width="2" customWidth="1"/>
    <col min="5" max="5" width="13.73046875" customWidth="1"/>
    <col min="6" max="6" width="2" customWidth="1"/>
    <col min="7" max="7" width="11.73046875" customWidth="1"/>
    <col min="8" max="8" width="2" customWidth="1"/>
    <col min="9" max="9" width="12" customWidth="1"/>
    <col min="10" max="10" width="2" customWidth="1"/>
    <col min="11" max="11" width="20.265625" customWidth="1"/>
    <col min="12" max="12" width="2" customWidth="1"/>
    <col min="13" max="13" width="53" customWidth="1"/>
    <col min="14" max="14" width="20.1328125" bestFit="1" customWidth="1"/>
    <col min="15" max="15" width="17.265625" style="95" customWidth="1"/>
    <col min="16" max="16" width="16.73046875" bestFit="1" customWidth="1"/>
  </cols>
  <sheetData>
    <row r="1" spans="1:33" s="99" customFormat="1" ht="20.65">
      <c r="A1" s="339" t="s">
        <v>80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100"/>
      <c r="O1" s="9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</row>
    <row r="2" spans="1:33" s="99" customFormat="1" ht="20.65">
      <c r="A2" s="339" t="s">
        <v>44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100"/>
      <c r="O2" s="9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</row>
    <row r="3" spans="1:33" s="99" customFormat="1" ht="20.65">
      <c r="A3" s="339" t="str">
        <f>' سهام'!A3:W3</f>
        <v>برای ماه منتهی به 1403/11/30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100"/>
      <c r="O3" s="9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</row>
    <row r="5" spans="1:33" s="101" customFormat="1" ht="17.25">
      <c r="A5" s="348" t="s">
        <v>90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91"/>
      <c r="O5" s="92"/>
      <c r="P5" s="93"/>
    </row>
    <row r="6" spans="1:33" s="101" customFormat="1" ht="17.25">
      <c r="A6" s="348" t="s">
        <v>91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91"/>
      <c r="O6" s="92"/>
      <c r="P6" s="93"/>
    </row>
    <row r="7" spans="1:33" s="101" customFormat="1" ht="47.1" customHeight="1" thickBot="1">
      <c r="A7" s="102"/>
    </row>
    <row r="8" spans="1:33" ht="30">
      <c r="A8" s="190" t="s">
        <v>84</v>
      </c>
      <c r="B8" s="103"/>
      <c r="C8" s="160" t="s">
        <v>85</v>
      </c>
      <c r="D8" s="103"/>
      <c r="E8" s="160" t="s">
        <v>158</v>
      </c>
      <c r="F8" s="103"/>
      <c r="G8" s="160" t="s">
        <v>86</v>
      </c>
      <c r="H8" s="103"/>
      <c r="I8" s="160" t="s">
        <v>87</v>
      </c>
      <c r="J8" s="103"/>
      <c r="K8" s="160" t="s">
        <v>88</v>
      </c>
      <c r="L8" s="103"/>
      <c r="M8" s="160" t="s">
        <v>89</v>
      </c>
      <c r="N8" s="101"/>
      <c r="O8" s="101"/>
      <c r="P8" s="101"/>
      <c r="Q8" s="101"/>
    </row>
    <row r="9" spans="1:33" ht="17.25">
      <c r="A9" s="193" t="s">
        <v>117</v>
      </c>
      <c r="B9" s="161"/>
      <c r="C9" s="191">
        <f>VLOOKUP(A9,اوراق!$A$9:$AG$13,25,0)</f>
        <v>320000</v>
      </c>
      <c r="D9" s="161"/>
      <c r="E9" s="191">
        <v>993200</v>
      </c>
      <c r="F9" s="161"/>
      <c r="G9" s="191">
        <v>1070000</v>
      </c>
      <c r="H9" s="161"/>
      <c r="I9" s="161">
        <f t="shared" ref="I9:I11" si="0">G9/E9-1</f>
        <v>7.732581554571083E-2</v>
      </c>
      <c r="J9" s="161"/>
      <c r="K9" s="191">
        <f>VLOOKUP(A9,اوراق!$A$9:$AG$13,31,0)</f>
        <v>317766394400</v>
      </c>
      <c r="L9" s="161"/>
      <c r="M9" s="194" t="s">
        <v>124</v>
      </c>
      <c r="N9" s="101"/>
      <c r="O9" s="101"/>
      <c r="P9" s="101"/>
      <c r="Q9" s="101"/>
    </row>
    <row r="10" spans="1:33" ht="17.25">
      <c r="A10" s="193" t="s">
        <v>193</v>
      </c>
      <c r="B10" s="161"/>
      <c r="C10" s="191">
        <f>VLOOKUP(A10,اوراق!$A$9:$AG$13,25,0)</f>
        <v>320000</v>
      </c>
      <c r="D10" s="101"/>
      <c r="E10" s="191">
        <v>918350</v>
      </c>
      <c r="F10" s="101"/>
      <c r="G10" s="191">
        <v>911277</v>
      </c>
      <c r="H10" s="101"/>
      <c r="I10" s="161">
        <f t="shared" ref="I10" si="1">G10/E10-1</f>
        <v>-7.7018565906245007E-3</v>
      </c>
      <c r="J10" s="101"/>
      <c r="K10" s="191">
        <f>VLOOKUP(A10,اوراق!$A$9:$AG$13,31,0)</f>
        <v>291555785935</v>
      </c>
      <c r="L10" s="101"/>
      <c r="M10" s="195" t="s">
        <v>124</v>
      </c>
      <c r="N10" s="101"/>
      <c r="O10" s="101"/>
      <c r="P10" s="101"/>
      <c r="Q10" s="101"/>
    </row>
    <row r="11" spans="1:33" ht="30">
      <c r="A11" s="193" t="s">
        <v>166</v>
      </c>
      <c r="B11" s="161"/>
      <c r="C11" s="191">
        <f>VLOOKUP(A11,اوراق!$A$9:$AG$13,25,0)</f>
        <v>200000</v>
      </c>
      <c r="D11" s="101"/>
      <c r="E11" s="191">
        <v>993200</v>
      </c>
      <c r="F11" s="101"/>
      <c r="G11" s="191">
        <v>1070000</v>
      </c>
      <c r="H11" s="101"/>
      <c r="I11" s="161">
        <f t="shared" si="0"/>
        <v>7.732581554571083E-2</v>
      </c>
      <c r="J11" s="101"/>
      <c r="K11" s="191">
        <f>VLOOKUP(A11,اوراق!$A$9:$AG$13,31,0)</f>
        <v>198603996500</v>
      </c>
      <c r="L11" s="101"/>
      <c r="M11" s="195" t="s">
        <v>124</v>
      </c>
      <c r="N11" s="101"/>
      <c r="O11" s="101"/>
      <c r="P11" s="101"/>
      <c r="Q11" s="101"/>
    </row>
    <row r="12" spans="1:33" ht="17.25">
      <c r="A12" s="107"/>
      <c r="B12" s="107"/>
      <c r="C12" s="107"/>
      <c r="D12" s="107"/>
      <c r="E12" s="107"/>
      <c r="F12" s="107"/>
      <c r="G12" s="107"/>
      <c r="H12" s="107"/>
      <c r="I12" s="104"/>
      <c r="J12" s="107"/>
      <c r="K12" s="107"/>
      <c r="L12" s="107"/>
      <c r="M12" s="107"/>
      <c r="N12" s="94"/>
      <c r="O12" s="106"/>
      <c r="P12" s="98"/>
      <c r="Q12" s="101"/>
    </row>
    <row r="13" spans="1:33" ht="17.25">
      <c r="C13" s="108"/>
      <c r="L13" s="105"/>
    </row>
    <row r="14" spans="1:33">
      <c r="C14" s="108"/>
      <c r="O14" s="162"/>
    </row>
    <row r="16" spans="1:33" ht="17.25">
      <c r="G16" s="109"/>
      <c r="N16" s="91"/>
    </row>
    <row r="17" spans="5:15" ht="17.25">
      <c r="E17" s="107"/>
      <c r="N17" s="91"/>
      <c r="O17" s="163"/>
    </row>
    <row r="18" spans="5:15" ht="17.25">
      <c r="N18" s="91"/>
    </row>
    <row r="20" spans="5:15">
      <c r="K20" s="108"/>
      <c r="M20" s="110"/>
    </row>
    <row r="21" spans="5:15">
      <c r="K21" s="108"/>
    </row>
    <row r="22" spans="5:15">
      <c r="M22" s="108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  <pageSetUpPr fitToPage="1"/>
  </sheetPr>
  <dimension ref="A1:L69"/>
  <sheetViews>
    <sheetView rightToLeft="1" view="pageBreakPreview" zoomScaleNormal="100" zoomScaleSheetLayoutView="100" workbookViewId="0">
      <selection activeCell="I43" sqref="I1:I1048576"/>
    </sheetView>
  </sheetViews>
  <sheetFormatPr defaultColWidth="9.1328125" defaultRowHeight="12.75"/>
  <cols>
    <col min="1" max="1" width="38" style="255" customWidth="1"/>
    <col min="2" max="2" width="0.3984375" style="255" customWidth="1"/>
    <col min="3" max="3" width="18.6640625" style="66" bestFit="1" customWidth="1"/>
    <col min="4" max="4" width="0.73046875" style="255" customWidth="1"/>
    <col min="5" max="5" width="21.86328125" style="255" customWidth="1"/>
    <col min="6" max="6" width="0.3984375" style="255" customWidth="1"/>
    <col min="7" max="7" width="22.1328125" style="255" customWidth="1"/>
    <col min="8" max="8" width="0.3984375" style="255" customWidth="1"/>
    <col min="9" max="9" width="18.6640625" style="255" bestFit="1" customWidth="1"/>
    <col min="10" max="10" width="0.59765625" style="255" customWidth="1"/>
    <col min="11" max="11" width="16" style="255" customWidth="1"/>
    <col min="12" max="16384" width="9.1328125" style="255"/>
  </cols>
  <sheetData>
    <row r="1" spans="1:12" s="7" customFormat="1" ht="13.9">
      <c r="A1" s="351" t="s">
        <v>80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2" s="7" customFormat="1" ht="13.9">
      <c r="A2" s="351" t="s">
        <v>44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</row>
    <row r="3" spans="1:12" s="7" customFormat="1" ht="16.5" customHeight="1">
      <c r="A3" s="351" t="str">
        <f>' سهام'!A3:W3</f>
        <v>برای ماه منتهی به 1403/11/30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</row>
    <row r="4" spans="1:12" ht="15">
      <c r="A4" s="354" t="s">
        <v>45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</row>
    <row r="5" spans="1:12" ht="11.25" customHeight="1" thickBot="1">
      <c r="A5" s="111"/>
      <c r="B5" s="256"/>
      <c r="C5" s="61"/>
      <c r="D5" s="256"/>
      <c r="E5" s="256"/>
      <c r="F5" s="256"/>
      <c r="G5" s="256"/>
      <c r="H5" s="256"/>
      <c r="I5" s="256"/>
      <c r="J5" s="256"/>
      <c r="K5" s="256"/>
    </row>
    <row r="6" spans="1:12" ht="18.75" customHeight="1" thickBot="1">
      <c r="A6" s="257"/>
      <c r="B6" s="258"/>
      <c r="C6" s="62" t="s">
        <v>190</v>
      </c>
      <c r="D6" s="112"/>
      <c r="E6" s="350" t="s">
        <v>7</v>
      </c>
      <c r="F6" s="350"/>
      <c r="G6" s="350"/>
      <c r="H6" s="259"/>
      <c r="I6" s="260" t="s">
        <v>208</v>
      </c>
      <c r="J6" s="261"/>
      <c r="K6" s="261"/>
    </row>
    <row r="7" spans="1:12" ht="17.25" customHeight="1">
      <c r="A7" s="357" t="s">
        <v>8</v>
      </c>
      <c r="B7" s="357"/>
      <c r="C7" s="359" t="s">
        <v>6</v>
      </c>
      <c r="D7" s="262"/>
      <c r="E7" s="361" t="s">
        <v>30</v>
      </c>
      <c r="F7" s="113"/>
      <c r="G7" s="361" t="s">
        <v>31</v>
      </c>
      <c r="H7" s="111"/>
      <c r="I7" s="355" t="s">
        <v>6</v>
      </c>
      <c r="J7" s="357"/>
      <c r="K7" s="352" t="s">
        <v>20</v>
      </c>
    </row>
    <row r="8" spans="1:12" ht="11.25" customHeight="1" thickBot="1">
      <c r="A8" s="358"/>
      <c r="B8" s="357"/>
      <c r="C8" s="360"/>
      <c r="D8" s="262"/>
      <c r="E8" s="362"/>
      <c r="F8" s="111"/>
      <c r="G8" s="362"/>
      <c r="H8" s="111"/>
      <c r="I8" s="356"/>
      <c r="J8" s="357"/>
      <c r="K8" s="353"/>
    </row>
    <row r="9" spans="1:12" s="111" customFormat="1" ht="15">
      <c r="A9" s="263" t="s">
        <v>99</v>
      </c>
      <c r="B9" s="64"/>
      <c r="C9" s="64">
        <v>593444</v>
      </c>
      <c r="D9" s="64"/>
      <c r="E9" s="63">
        <v>2432</v>
      </c>
      <c r="F9" s="64"/>
      <c r="G9" s="63">
        <v>0</v>
      </c>
      <c r="H9" s="64"/>
      <c r="I9" s="64">
        <v>595876</v>
      </c>
      <c r="K9" s="65">
        <f>I9/درآمدها!$J$5</f>
        <v>3.2526193480739749E-7</v>
      </c>
      <c r="L9" s="264"/>
    </row>
    <row r="10" spans="1:12" s="111" customFormat="1" ht="15">
      <c r="A10" s="263" t="s">
        <v>93</v>
      </c>
      <c r="B10" s="64"/>
      <c r="C10" s="64">
        <v>1320760</v>
      </c>
      <c r="D10" s="64"/>
      <c r="E10" s="63">
        <v>0</v>
      </c>
      <c r="F10" s="64"/>
      <c r="G10" s="63">
        <v>0</v>
      </c>
      <c r="H10" s="64"/>
      <c r="I10" s="64">
        <v>1320760</v>
      </c>
      <c r="K10" s="65">
        <f>I10/درآمدها!$J$5</f>
        <v>7.2094354029398452E-7</v>
      </c>
      <c r="L10" s="264"/>
    </row>
    <row r="11" spans="1:12" s="111" customFormat="1" ht="15">
      <c r="A11" s="263" t="s">
        <v>94</v>
      </c>
      <c r="B11" s="64"/>
      <c r="C11" s="64">
        <v>136000</v>
      </c>
      <c r="D11" s="64"/>
      <c r="E11" s="63">
        <v>0</v>
      </c>
      <c r="F11" s="64"/>
      <c r="G11" s="63">
        <v>0</v>
      </c>
      <c r="H11" s="64"/>
      <c r="I11" s="64">
        <v>136000</v>
      </c>
      <c r="K11" s="65">
        <f>I11/درآمدها!$J$5</f>
        <v>7.4236289318257588E-8</v>
      </c>
      <c r="L11" s="264"/>
    </row>
    <row r="12" spans="1:12" s="111" customFormat="1" ht="15">
      <c r="A12" s="263" t="s">
        <v>172</v>
      </c>
      <c r="B12" s="64"/>
      <c r="C12" s="64">
        <v>1651590</v>
      </c>
      <c r="D12" s="64"/>
      <c r="E12" s="63">
        <v>197972242190</v>
      </c>
      <c r="F12" s="64"/>
      <c r="G12" s="63">
        <v>197664534000</v>
      </c>
      <c r="H12" s="64"/>
      <c r="I12" s="64">
        <v>309359780</v>
      </c>
      <c r="K12" s="65">
        <f>I12/درآمدها!$J$5</f>
        <v>1.6886560390818028E-4</v>
      </c>
      <c r="L12" s="264"/>
    </row>
    <row r="13" spans="1:12" s="111" customFormat="1" ht="15">
      <c r="A13" s="263" t="s">
        <v>212</v>
      </c>
      <c r="B13" s="64"/>
      <c r="C13" s="64">
        <v>0</v>
      </c>
      <c r="D13" s="64"/>
      <c r="E13" s="63">
        <v>70698000000</v>
      </c>
      <c r="F13" s="64"/>
      <c r="G13" s="63">
        <v>0</v>
      </c>
      <c r="H13" s="64"/>
      <c r="I13" s="64">
        <v>70698000000</v>
      </c>
      <c r="K13" s="65">
        <f>I13/درآمدها!$J$5</f>
        <v>3.8590861633986583E-2</v>
      </c>
      <c r="L13" s="264"/>
    </row>
    <row r="14" spans="1:12" s="111" customFormat="1" ht="15">
      <c r="A14" s="263" t="s">
        <v>213</v>
      </c>
      <c r="B14" s="64"/>
      <c r="C14" s="64">
        <v>0</v>
      </c>
      <c r="D14" s="64"/>
      <c r="E14" s="63">
        <v>71186000000</v>
      </c>
      <c r="F14" s="64"/>
      <c r="G14" s="63">
        <v>0</v>
      </c>
      <c r="H14" s="64"/>
      <c r="I14" s="64">
        <v>71186000000</v>
      </c>
      <c r="K14" s="65">
        <f>I14/درآمدها!$J$5</f>
        <v>3.8857238907422681E-2</v>
      </c>
      <c r="L14" s="264"/>
    </row>
    <row r="15" spans="1:12" s="111" customFormat="1" ht="15">
      <c r="A15" s="263" t="s">
        <v>214</v>
      </c>
      <c r="B15" s="64"/>
      <c r="C15" s="64">
        <v>0</v>
      </c>
      <c r="D15" s="64"/>
      <c r="E15" s="63">
        <v>55780000000</v>
      </c>
      <c r="F15" s="64"/>
      <c r="G15" s="63">
        <v>0</v>
      </c>
      <c r="H15" s="64"/>
      <c r="I15" s="64">
        <v>55780000000</v>
      </c>
      <c r="K15" s="65">
        <f>I15/درآمدها!$J$5</f>
        <v>3.0447795721855943E-2</v>
      </c>
      <c r="L15" s="264"/>
    </row>
    <row r="16" spans="1:12" s="111" customFormat="1" ht="15">
      <c r="A16" s="263" t="s">
        <v>173</v>
      </c>
      <c r="B16" s="64"/>
      <c r="C16" s="64">
        <v>12296000000</v>
      </c>
      <c r="D16" s="64"/>
      <c r="E16" s="63">
        <v>0</v>
      </c>
      <c r="F16" s="64"/>
      <c r="G16" s="63">
        <v>0</v>
      </c>
      <c r="H16" s="64"/>
      <c r="I16" s="64">
        <v>12296000000</v>
      </c>
      <c r="K16" s="65">
        <f>I16/درآمدها!$J$5</f>
        <v>6.7118339224801126E-3</v>
      </c>
      <c r="L16" s="264"/>
    </row>
    <row r="17" spans="1:12" s="111" customFormat="1" ht="15">
      <c r="A17" s="263" t="s">
        <v>98</v>
      </c>
      <c r="B17" s="64"/>
      <c r="C17" s="64">
        <v>2050143</v>
      </c>
      <c r="D17" s="64"/>
      <c r="E17" s="63">
        <v>206173102523</v>
      </c>
      <c r="F17" s="64"/>
      <c r="G17" s="63">
        <v>206173906742</v>
      </c>
      <c r="H17" s="64"/>
      <c r="I17" s="64">
        <v>1245924</v>
      </c>
      <c r="K17" s="65">
        <f>I17/درآمدها!$J$5</f>
        <v>6.8009393038647621E-7</v>
      </c>
      <c r="L17" s="264"/>
    </row>
    <row r="18" spans="1:12" s="111" customFormat="1" ht="15">
      <c r="A18" s="263" t="s">
        <v>215</v>
      </c>
      <c r="B18" s="64"/>
      <c r="C18" s="64">
        <v>0</v>
      </c>
      <c r="D18" s="64"/>
      <c r="E18" s="63">
        <v>60000000000</v>
      </c>
      <c r="F18" s="64"/>
      <c r="G18" s="63">
        <v>0</v>
      </c>
      <c r="H18" s="64"/>
      <c r="I18" s="64">
        <v>60000000000</v>
      </c>
      <c r="K18" s="65">
        <f>I18/درآمدها!$J$5</f>
        <v>3.2751304110995999E-2</v>
      </c>
      <c r="L18" s="264"/>
    </row>
    <row r="19" spans="1:12" s="111" customFormat="1" ht="15">
      <c r="A19" s="263" t="s">
        <v>216</v>
      </c>
      <c r="B19" s="64"/>
      <c r="C19" s="64">
        <v>0</v>
      </c>
      <c r="D19" s="64"/>
      <c r="E19" s="63">
        <v>33142000000</v>
      </c>
      <c r="F19" s="64"/>
      <c r="G19" s="63">
        <v>0</v>
      </c>
      <c r="H19" s="64"/>
      <c r="I19" s="64">
        <v>33142000000</v>
      </c>
      <c r="K19" s="65">
        <f>I19/درآمدها!$J$5</f>
        <v>1.8090728680777154E-2</v>
      </c>
      <c r="L19" s="264"/>
    </row>
    <row r="20" spans="1:12" s="111" customFormat="1" ht="15">
      <c r="A20" s="263" t="s">
        <v>217</v>
      </c>
      <c r="B20" s="64"/>
      <c r="C20" s="64">
        <v>0</v>
      </c>
      <c r="D20" s="64"/>
      <c r="E20" s="63">
        <v>23984000000</v>
      </c>
      <c r="F20" s="64"/>
      <c r="G20" s="63">
        <v>0</v>
      </c>
      <c r="H20" s="64"/>
      <c r="I20" s="64">
        <v>23984000000</v>
      </c>
      <c r="K20" s="65">
        <f>I20/درآمدها!$J$5</f>
        <v>1.3091787963302133E-2</v>
      </c>
      <c r="L20" s="264"/>
    </row>
    <row r="21" spans="1:12" s="111" customFormat="1" ht="15">
      <c r="A21" s="263" t="s">
        <v>198</v>
      </c>
      <c r="B21" s="64"/>
      <c r="C21" s="64">
        <v>22500000000</v>
      </c>
      <c r="D21" s="64"/>
      <c r="E21" s="63">
        <v>0</v>
      </c>
      <c r="F21" s="64"/>
      <c r="G21" s="63">
        <v>588500000</v>
      </c>
      <c r="H21" s="64"/>
      <c r="I21" s="64">
        <v>21911500000</v>
      </c>
      <c r="K21" s="65">
        <f>I21/درآمدها!$J$5</f>
        <v>1.1960503333801479E-2</v>
      </c>
      <c r="L21" s="264"/>
    </row>
    <row r="22" spans="1:12" s="111" customFormat="1" ht="15">
      <c r="A22" s="263" t="s">
        <v>100</v>
      </c>
      <c r="B22" s="64"/>
      <c r="C22" s="64">
        <v>262424</v>
      </c>
      <c r="D22" s="64"/>
      <c r="E22" s="63">
        <v>0</v>
      </c>
      <c r="F22" s="64"/>
      <c r="G22" s="63">
        <v>0</v>
      </c>
      <c r="H22" s="64"/>
      <c r="I22" s="64">
        <v>262424</v>
      </c>
      <c r="K22" s="65">
        <f>I22/درآمدها!$J$5</f>
        <v>1.4324547050040022E-7</v>
      </c>
      <c r="L22" s="264"/>
    </row>
    <row r="23" spans="1:12" s="111" customFormat="1" ht="15">
      <c r="A23" s="263" t="s">
        <v>96</v>
      </c>
      <c r="B23" s="64"/>
      <c r="C23" s="64">
        <v>888230</v>
      </c>
      <c r="D23" s="64"/>
      <c r="E23" s="63">
        <v>3650</v>
      </c>
      <c r="F23" s="64"/>
      <c r="G23" s="63">
        <v>569912</v>
      </c>
      <c r="H23" s="64"/>
      <c r="I23" s="64">
        <v>321968</v>
      </c>
      <c r="K23" s="65">
        <f>I23/درآمدها!$J$5</f>
        <v>1.7574786470015265E-7</v>
      </c>
      <c r="L23" s="264"/>
    </row>
    <row r="24" spans="1:12" s="111" customFormat="1" ht="15">
      <c r="A24" s="263" t="s">
        <v>101</v>
      </c>
      <c r="B24" s="64"/>
      <c r="C24" s="64">
        <v>349866</v>
      </c>
      <c r="D24" s="64"/>
      <c r="E24" s="63">
        <v>1428</v>
      </c>
      <c r="F24" s="64"/>
      <c r="G24" s="63">
        <v>0</v>
      </c>
      <c r="H24" s="64"/>
      <c r="I24" s="64">
        <v>351294</v>
      </c>
      <c r="K24" s="65">
        <f>I24/درآمدها!$J$5</f>
        <v>1.9175561043947045E-7</v>
      </c>
      <c r="L24" s="264"/>
    </row>
    <row r="25" spans="1:12" s="111" customFormat="1" ht="18.75" customHeight="1">
      <c r="A25" s="263" t="s">
        <v>107</v>
      </c>
      <c r="B25" s="64"/>
      <c r="C25" s="64">
        <v>364036</v>
      </c>
      <c r="D25" s="64"/>
      <c r="E25" s="63">
        <v>0</v>
      </c>
      <c r="F25" s="64"/>
      <c r="G25" s="63">
        <v>0</v>
      </c>
      <c r="H25" s="64"/>
      <c r="I25" s="64">
        <v>364036</v>
      </c>
      <c r="K25" s="65">
        <f>I25/درآمدها!$J$5</f>
        <v>1.9871089572250897E-7</v>
      </c>
      <c r="L25" s="264"/>
    </row>
    <row r="26" spans="1:12" s="111" customFormat="1" ht="19.5" customHeight="1">
      <c r="A26" s="263" t="s">
        <v>218</v>
      </c>
      <c r="B26" s="64"/>
      <c r="C26" s="64">
        <v>0</v>
      </c>
      <c r="D26" s="64"/>
      <c r="E26" s="63">
        <v>21328000000</v>
      </c>
      <c r="F26" s="64"/>
      <c r="G26" s="63">
        <v>0</v>
      </c>
      <c r="H26" s="64"/>
      <c r="I26" s="64">
        <v>21328000000</v>
      </c>
      <c r="K26" s="65">
        <f>I26/درآمدها!$J$5</f>
        <v>1.1641996901322043E-2</v>
      </c>
      <c r="L26" s="264"/>
    </row>
    <row r="27" spans="1:12" s="111" customFormat="1" ht="19.5" customHeight="1">
      <c r="A27" s="263" t="s">
        <v>199</v>
      </c>
      <c r="B27" s="64"/>
      <c r="C27" s="64">
        <v>15950000000</v>
      </c>
      <c r="D27" s="64"/>
      <c r="E27" s="63">
        <v>0</v>
      </c>
      <c r="F27" s="64"/>
      <c r="G27" s="63">
        <v>0</v>
      </c>
      <c r="H27" s="64"/>
      <c r="I27" s="64">
        <v>15950000000</v>
      </c>
      <c r="K27" s="65">
        <f>I27/درآمدها!$J$5</f>
        <v>8.7063883428397694E-3</v>
      </c>
      <c r="L27" s="264"/>
    </row>
    <row r="28" spans="1:12" s="111" customFormat="1" ht="19.5" customHeight="1">
      <c r="A28" s="263" t="s">
        <v>200</v>
      </c>
      <c r="B28" s="64"/>
      <c r="C28" s="64">
        <v>22000000000</v>
      </c>
      <c r="D28" s="64"/>
      <c r="E28" s="63">
        <v>0</v>
      </c>
      <c r="F28" s="64"/>
      <c r="G28" s="63">
        <v>0</v>
      </c>
      <c r="H28" s="64"/>
      <c r="I28" s="64">
        <v>22000000000</v>
      </c>
      <c r="K28" s="65">
        <f>I28/درآمدها!$J$5</f>
        <v>1.2008811507365198E-2</v>
      </c>
      <c r="L28" s="264"/>
    </row>
    <row r="29" spans="1:12" s="111" customFormat="1" ht="19.5" customHeight="1">
      <c r="A29" s="263" t="s">
        <v>106</v>
      </c>
      <c r="B29" s="64"/>
      <c r="C29" s="64">
        <v>1160906</v>
      </c>
      <c r="D29" s="64"/>
      <c r="E29" s="63">
        <v>72345000000</v>
      </c>
      <c r="F29" s="64"/>
      <c r="G29" s="63">
        <v>72345030000</v>
      </c>
      <c r="H29" s="64"/>
      <c r="I29" s="64">
        <v>1130906</v>
      </c>
      <c r="K29" s="65">
        <f>I29/درآمدها!$J$5</f>
        <v>6.1731077211583399E-7</v>
      </c>
      <c r="L29" s="264"/>
    </row>
    <row r="30" spans="1:12" s="111" customFormat="1" ht="15">
      <c r="A30" s="263" t="s">
        <v>219</v>
      </c>
      <c r="B30" s="64"/>
      <c r="C30" s="64">
        <v>0</v>
      </c>
      <c r="D30" s="64"/>
      <c r="E30" s="63">
        <v>40000000000</v>
      </c>
      <c r="F30" s="64"/>
      <c r="G30" s="63">
        <v>0</v>
      </c>
      <c r="H30" s="64"/>
      <c r="I30" s="64">
        <v>40000000000</v>
      </c>
      <c r="K30" s="65">
        <f>I30/درآمدها!$J$5</f>
        <v>2.1834202740663996E-2</v>
      </c>
      <c r="L30" s="264"/>
    </row>
    <row r="31" spans="1:12" s="111" customFormat="1" ht="19.5" customHeight="1">
      <c r="A31" s="263" t="s">
        <v>220</v>
      </c>
      <c r="B31" s="64"/>
      <c r="C31" s="64">
        <v>0</v>
      </c>
      <c r="D31" s="64"/>
      <c r="E31" s="63">
        <v>19474000000</v>
      </c>
      <c r="F31" s="64"/>
      <c r="G31" s="63">
        <v>0</v>
      </c>
      <c r="H31" s="64"/>
      <c r="I31" s="64">
        <v>19474000000</v>
      </c>
      <c r="K31" s="65">
        <f>I31/درآمدها!$J$5</f>
        <v>1.0629981604292267E-2</v>
      </c>
      <c r="L31" s="264"/>
    </row>
    <row r="32" spans="1:12" s="111" customFormat="1" ht="19.5" customHeight="1">
      <c r="A32" s="263" t="s">
        <v>221</v>
      </c>
      <c r="B32" s="64"/>
      <c r="C32" s="64">
        <v>0</v>
      </c>
      <c r="D32" s="64"/>
      <c r="E32" s="63">
        <v>12871000000</v>
      </c>
      <c r="F32" s="64"/>
      <c r="G32" s="63">
        <v>0</v>
      </c>
      <c r="H32" s="64"/>
      <c r="I32" s="64">
        <v>12871000000</v>
      </c>
      <c r="K32" s="65">
        <f>I32/درآمدها!$J$5</f>
        <v>7.0257005868771573E-3</v>
      </c>
      <c r="L32" s="264"/>
    </row>
    <row r="33" spans="1:12" s="111" customFormat="1" ht="19.5" customHeight="1">
      <c r="A33" s="263" t="s">
        <v>170</v>
      </c>
      <c r="B33" s="64"/>
      <c r="C33" s="64">
        <v>0</v>
      </c>
      <c r="D33" s="64"/>
      <c r="E33" s="63">
        <v>0</v>
      </c>
      <c r="F33" s="64"/>
      <c r="G33" s="63">
        <v>0</v>
      </c>
      <c r="H33" s="64"/>
      <c r="I33" s="64">
        <v>0</v>
      </c>
      <c r="K33" s="65">
        <f>I33/درآمدها!$J$5</f>
        <v>0</v>
      </c>
      <c r="L33" s="264"/>
    </row>
    <row r="34" spans="1:12" s="111" customFormat="1" ht="15">
      <c r="A34" s="263" t="s">
        <v>169</v>
      </c>
      <c r="B34" s="64"/>
      <c r="C34" s="64">
        <v>187190000000</v>
      </c>
      <c r="D34" s="64"/>
      <c r="E34" s="63">
        <v>0</v>
      </c>
      <c r="F34" s="64"/>
      <c r="G34" s="63">
        <v>85000000000</v>
      </c>
      <c r="H34" s="64"/>
      <c r="I34" s="64">
        <v>102190000000</v>
      </c>
      <c r="K34" s="65">
        <f>I34/درآمدها!$J$5</f>
        <v>5.5780929451711349E-2</v>
      </c>
      <c r="L34" s="264"/>
    </row>
    <row r="35" spans="1:12" s="111" customFormat="1" ht="15">
      <c r="A35" s="263" t="s">
        <v>171</v>
      </c>
      <c r="B35" s="64"/>
      <c r="C35" s="64">
        <v>0</v>
      </c>
      <c r="D35" s="64"/>
      <c r="E35" s="63">
        <v>0</v>
      </c>
      <c r="F35" s="64"/>
      <c r="G35" s="63">
        <v>0</v>
      </c>
      <c r="H35" s="64"/>
      <c r="I35" s="64">
        <v>0</v>
      </c>
      <c r="K35" s="65">
        <f>I35/درآمدها!$J$5</f>
        <v>0</v>
      </c>
      <c r="L35" s="264"/>
    </row>
    <row r="36" spans="1:12" s="111" customFormat="1" ht="15">
      <c r="A36" s="263" t="s">
        <v>108</v>
      </c>
      <c r="B36" s="64"/>
      <c r="C36" s="64">
        <v>1336844</v>
      </c>
      <c r="D36" s="64"/>
      <c r="E36" s="63">
        <v>114743919847</v>
      </c>
      <c r="F36" s="64"/>
      <c r="G36" s="63">
        <v>114744543755</v>
      </c>
      <c r="H36" s="64"/>
      <c r="I36" s="64">
        <v>712936</v>
      </c>
      <c r="K36" s="65">
        <f>I36/درآمدها!$J$5</f>
        <v>3.8915972912795067E-7</v>
      </c>
      <c r="L36" s="264"/>
    </row>
    <row r="37" spans="1:12" s="111" customFormat="1" ht="15">
      <c r="A37" s="263" t="s">
        <v>115</v>
      </c>
      <c r="B37" s="64"/>
      <c r="C37" s="64">
        <v>19819000000</v>
      </c>
      <c r="D37" s="64"/>
      <c r="E37" s="63">
        <v>0</v>
      </c>
      <c r="F37" s="64"/>
      <c r="G37" s="63">
        <v>19819000000</v>
      </c>
      <c r="H37" s="64"/>
      <c r="I37" s="64">
        <v>0</v>
      </c>
      <c r="K37" s="65">
        <f>I37/درآمدها!$J$5</f>
        <v>0</v>
      </c>
      <c r="L37" s="264"/>
    </row>
    <row r="38" spans="1:12" s="111" customFormat="1" ht="15">
      <c r="A38" s="263" t="s">
        <v>159</v>
      </c>
      <c r="B38" s="64"/>
      <c r="C38" s="64">
        <v>3466500000</v>
      </c>
      <c r="D38" s="64"/>
      <c r="E38" s="63">
        <v>0</v>
      </c>
      <c r="F38" s="64"/>
      <c r="G38" s="63">
        <v>3466500000</v>
      </c>
      <c r="H38" s="64"/>
      <c r="I38" s="64">
        <v>0</v>
      </c>
      <c r="K38" s="65">
        <f>I38/درآمدها!$J$5</f>
        <v>0</v>
      </c>
      <c r="L38" s="264"/>
    </row>
    <row r="39" spans="1:12" s="111" customFormat="1" ht="15">
      <c r="A39" s="263" t="s">
        <v>160</v>
      </c>
      <c r="B39" s="64"/>
      <c r="C39" s="64">
        <v>4077500000</v>
      </c>
      <c r="D39" s="64"/>
      <c r="E39" s="63">
        <v>0</v>
      </c>
      <c r="F39" s="64"/>
      <c r="G39" s="63">
        <v>4077500000</v>
      </c>
      <c r="H39" s="64"/>
      <c r="I39" s="64">
        <v>0</v>
      </c>
      <c r="K39" s="65"/>
      <c r="L39" s="264"/>
    </row>
    <row r="40" spans="1:12" s="111" customFormat="1" ht="15">
      <c r="A40" s="263" t="s">
        <v>161</v>
      </c>
      <c r="B40" s="64"/>
      <c r="C40" s="64">
        <v>21518000000</v>
      </c>
      <c r="D40" s="64"/>
      <c r="E40" s="63">
        <v>0</v>
      </c>
      <c r="F40" s="64"/>
      <c r="G40" s="63">
        <v>4128000000</v>
      </c>
      <c r="H40" s="64"/>
      <c r="I40" s="64">
        <v>17390000000</v>
      </c>
      <c r="K40" s="65"/>
      <c r="L40" s="264"/>
    </row>
    <row r="41" spans="1:12" s="111" customFormat="1" ht="15">
      <c r="A41" s="263" t="s">
        <v>162</v>
      </c>
      <c r="B41" s="64"/>
      <c r="C41" s="64">
        <v>40867000000</v>
      </c>
      <c r="D41" s="64"/>
      <c r="E41" s="63">
        <v>0</v>
      </c>
      <c r="F41" s="64"/>
      <c r="G41" s="63">
        <v>0</v>
      </c>
      <c r="H41" s="64"/>
      <c r="I41" s="64">
        <v>40867000000</v>
      </c>
      <c r="K41" s="65"/>
      <c r="L41" s="264"/>
    </row>
    <row r="42" spans="1:12" s="111" customFormat="1" ht="15">
      <c r="A42" s="263" t="s">
        <v>122</v>
      </c>
      <c r="B42" s="64"/>
      <c r="C42" s="64">
        <v>788500000</v>
      </c>
      <c r="D42" s="64"/>
      <c r="E42" s="63">
        <v>0</v>
      </c>
      <c r="F42" s="64"/>
      <c r="G42" s="63">
        <v>788500000</v>
      </c>
      <c r="H42" s="64"/>
      <c r="I42" s="64">
        <v>0</v>
      </c>
      <c r="K42" s="65"/>
      <c r="L42" s="264"/>
    </row>
    <row r="43" spans="1:12" s="111" customFormat="1" ht="15">
      <c r="A43" s="263" t="s">
        <v>114</v>
      </c>
      <c r="B43" s="64"/>
      <c r="C43" s="64">
        <v>69032500000</v>
      </c>
      <c r="D43" s="64"/>
      <c r="E43" s="63">
        <v>0</v>
      </c>
      <c r="F43" s="64"/>
      <c r="G43" s="63">
        <v>69032500000</v>
      </c>
      <c r="H43" s="64"/>
      <c r="I43" s="64">
        <v>0</v>
      </c>
      <c r="K43" s="65"/>
      <c r="L43" s="264"/>
    </row>
    <row r="44" spans="1:12" s="111" customFormat="1" ht="15">
      <c r="A44" s="263" t="s">
        <v>113</v>
      </c>
      <c r="B44" s="64"/>
      <c r="C44" s="64">
        <v>3948500000</v>
      </c>
      <c r="D44" s="64"/>
      <c r="E44" s="63">
        <v>0</v>
      </c>
      <c r="F44" s="64"/>
      <c r="G44" s="63">
        <v>3948500000</v>
      </c>
      <c r="H44" s="64"/>
      <c r="I44" s="64">
        <v>0</v>
      </c>
      <c r="K44" s="65"/>
      <c r="L44" s="264"/>
    </row>
    <row r="45" spans="1:12" s="111" customFormat="1" ht="15">
      <c r="A45" s="263" t="s">
        <v>111</v>
      </c>
      <c r="B45" s="64"/>
      <c r="C45" s="64">
        <v>2075000000</v>
      </c>
      <c r="D45" s="64"/>
      <c r="E45" s="63">
        <v>0</v>
      </c>
      <c r="F45" s="64"/>
      <c r="G45" s="63">
        <v>2075000000</v>
      </c>
      <c r="H45" s="64"/>
      <c r="I45" s="64">
        <v>0</v>
      </c>
      <c r="K45" s="65"/>
      <c r="L45" s="264"/>
    </row>
    <row r="46" spans="1:12" s="111" customFormat="1" ht="15">
      <c r="A46" s="263" t="s">
        <v>112</v>
      </c>
      <c r="B46" s="64"/>
      <c r="C46" s="64">
        <v>440500000</v>
      </c>
      <c r="D46" s="64"/>
      <c r="E46" s="63">
        <v>0</v>
      </c>
      <c r="F46" s="64"/>
      <c r="G46" s="63">
        <v>440500000</v>
      </c>
      <c r="H46" s="64"/>
      <c r="I46" s="64">
        <v>0</v>
      </c>
      <c r="K46" s="65"/>
      <c r="L46" s="264"/>
    </row>
    <row r="47" spans="1:12" s="111" customFormat="1" ht="15">
      <c r="A47" s="263" t="s">
        <v>110</v>
      </c>
      <c r="B47" s="64"/>
      <c r="C47" s="64">
        <v>1733500000</v>
      </c>
      <c r="D47" s="64"/>
      <c r="E47" s="63">
        <v>0</v>
      </c>
      <c r="F47" s="64"/>
      <c r="G47" s="63">
        <v>1733500000</v>
      </c>
      <c r="H47" s="64"/>
      <c r="I47" s="64">
        <v>0</v>
      </c>
      <c r="K47" s="65"/>
      <c r="L47" s="264"/>
    </row>
    <row r="48" spans="1:12" s="111" customFormat="1" ht="15">
      <c r="A48" s="263" t="s">
        <v>123</v>
      </c>
      <c r="B48" s="64"/>
      <c r="C48" s="64">
        <v>438088</v>
      </c>
      <c r="D48" s="64"/>
      <c r="E48" s="63">
        <v>0</v>
      </c>
      <c r="F48" s="64"/>
      <c r="G48" s="63">
        <v>438088</v>
      </c>
      <c r="H48" s="64"/>
      <c r="I48" s="64">
        <v>0</v>
      </c>
      <c r="K48" s="65"/>
      <c r="L48" s="264"/>
    </row>
    <row r="49" spans="1:12" s="111" customFormat="1" ht="15">
      <c r="A49" s="263" t="s">
        <v>109</v>
      </c>
      <c r="B49" s="64"/>
      <c r="C49" s="64">
        <v>1932122595</v>
      </c>
      <c r="D49" s="64"/>
      <c r="E49" s="63">
        <v>630165456402</v>
      </c>
      <c r="F49" s="64"/>
      <c r="G49" s="63">
        <v>616310951897</v>
      </c>
      <c r="H49" s="64"/>
      <c r="I49" s="64">
        <v>15786627100</v>
      </c>
      <c r="K49" s="65">
        <f>I49/درآمدها!$J$5</f>
        <v>8.6172104173165131E-3</v>
      </c>
      <c r="L49" s="264"/>
    </row>
    <row r="50" spans="1:12" s="111" customFormat="1" ht="15">
      <c r="A50" s="263" t="s">
        <v>201</v>
      </c>
      <c r="B50" s="64"/>
      <c r="C50" s="64">
        <v>85200000000</v>
      </c>
      <c r="D50" s="64"/>
      <c r="E50" s="63">
        <v>0</v>
      </c>
      <c r="F50" s="64"/>
      <c r="G50" s="63">
        <v>0</v>
      </c>
      <c r="H50" s="64"/>
      <c r="I50" s="64">
        <v>85200000000</v>
      </c>
      <c r="K50" s="65">
        <f>I50/درآمدها!$J$5</f>
        <v>4.6506851837614313E-2</v>
      </c>
      <c r="L50" s="264"/>
    </row>
    <row r="51" spans="1:12" s="111" customFormat="1" ht="15">
      <c r="A51" s="263" t="s">
        <v>202</v>
      </c>
      <c r="B51" s="64"/>
      <c r="C51" s="64">
        <v>20011000000</v>
      </c>
      <c r="D51" s="64"/>
      <c r="E51" s="63">
        <v>0</v>
      </c>
      <c r="F51" s="64"/>
      <c r="G51" s="63">
        <v>0</v>
      </c>
      <c r="H51" s="64"/>
      <c r="I51" s="64">
        <v>20011000000</v>
      </c>
      <c r="K51" s="65">
        <f>I51/درآمدها!$J$5</f>
        <v>1.0923105776085681E-2</v>
      </c>
      <c r="L51" s="264"/>
    </row>
    <row r="52" spans="1:12" s="111" customFormat="1" ht="15">
      <c r="A52" s="263" t="s">
        <v>203</v>
      </c>
      <c r="B52" s="64"/>
      <c r="C52" s="64">
        <v>3654000000</v>
      </c>
      <c r="D52" s="64"/>
      <c r="E52" s="63">
        <v>0</v>
      </c>
      <c r="F52" s="64"/>
      <c r="G52" s="63">
        <v>0</v>
      </c>
      <c r="H52" s="64"/>
      <c r="I52" s="64">
        <v>3654000000</v>
      </c>
      <c r="K52" s="65">
        <f>I52/درآمدها!$J$5</f>
        <v>1.9945544203596563E-3</v>
      </c>
      <c r="L52" s="264"/>
    </row>
    <row r="53" spans="1:12" s="111" customFormat="1" ht="15">
      <c r="A53" s="263" t="s">
        <v>204</v>
      </c>
      <c r="B53" s="64"/>
      <c r="C53" s="64">
        <v>10000000000</v>
      </c>
      <c r="D53" s="64"/>
      <c r="E53" s="63">
        <v>0</v>
      </c>
      <c r="F53" s="64"/>
      <c r="G53" s="63">
        <v>0</v>
      </c>
      <c r="H53" s="64"/>
      <c r="I53" s="64">
        <v>10000000000</v>
      </c>
      <c r="K53" s="65">
        <f>I53/درآمدها!$J$5</f>
        <v>5.458550685165999E-3</v>
      </c>
      <c r="L53" s="264"/>
    </row>
    <row r="54" spans="1:12" s="111" customFormat="1" ht="15">
      <c r="A54" s="263" t="s">
        <v>174</v>
      </c>
      <c r="B54" s="64"/>
      <c r="C54" s="64">
        <v>30955000000</v>
      </c>
      <c r="D54" s="64"/>
      <c r="E54" s="63">
        <v>0</v>
      </c>
      <c r="F54" s="64"/>
      <c r="G54" s="63">
        <v>0</v>
      </c>
      <c r="H54" s="64"/>
      <c r="I54" s="64">
        <v>30955000000</v>
      </c>
      <c r="K54" s="65">
        <f>I54/درآمدها!$J$5</f>
        <v>1.6896943645931351E-2</v>
      </c>
      <c r="L54" s="264"/>
    </row>
    <row r="55" spans="1:12" s="111" customFormat="1" ht="15">
      <c r="A55" s="263" t="s">
        <v>175</v>
      </c>
      <c r="B55" s="64"/>
      <c r="C55" s="64">
        <v>0</v>
      </c>
      <c r="D55" s="64"/>
      <c r="E55" s="63">
        <v>0</v>
      </c>
      <c r="F55" s="64"/>
      <c r="G55" s="63">
        <v>0</v>
      </c>
      <c r="H55" s="64"/>
      <c r="I55" s="64">
        <v>0</v>
      </c>
      <c r="K55" s="65">
        <f>I55/درآمدها!$J$5</f>
        <v>0</v>
      </c>
      <c r="L55" s="264"/>
    </row>
    <row r="56" spans="1:12" s="111" customFormat="1" ht="15">
      <c r="A56" s="263" t="s">
        <v>176</v>
      </c>
      <c r="B56" s="64"/>
      <c r="C56" s="64">
        <v>0</v>
      </c>
      <c r="D56" s="64"/>
      <c r="E56" s="63">
        <v>0</v>
      </c>
      <c r="F56" s="64"/>
      <c r="G56" s="63">
        <v>0</v>
      </c>
      <c r="H56" s="64"/>
      <c r="I56" s="64">
        <v>0</v>
      </c>
      <c r="K56" s="65">
        <f>I56/درآمدها!$J$5</f>
        <v>0</v>
      </c>
      <c r="L56" s="264"/>
    </row>
    <row r="57" spans="1:12" s="111" customFormat="1" ht="15">
      <c r="A57" s="263" t="s">
        <v>95</v>
      </c>
      <c r="B57" s="64"/>
      <c r="C57" s="64">
        <v>763765</v>
      </c>
      <c r="D57" s="64"/>
      <c r="E57" s="63">
        <v>0</v>
      </c>
      <c r="F57" s="64"/>
      <c r="G57" s="63">
        <v>504000</v>
      </c>
      <c r="H57" s="64"/>
      <c r="I57" s="64">
        <v>259765</v>
      </c>
      <c r="K57" s="65">
        <f>I57/درآمدها!$J$5</f>
        <v>1.4179404187321457E-7</v>
      </c>
      <c r="L57" s="264"/>
    </row>
    <row r="58" spans="1:12" s="111" customFormat="1" ht="30.4" thickBot="1">
      <c r="A58" s="263" t="s">
        <v>97</v>
      </c>
      <c r="B58" s="64"/>
      <c r="C58" s="64">
        <v>6131092679</v>
      </c>
      <c r="D58" s="64"/>
      <c r="E58" s="63">
        <v>1028508198192</v>
      </c>
      <c r="F58" s="64"/>
      <c r="G58" s="63">
        <v>993175540552</v>
      </c>
      <c r="H58" s="64"/>
      <c r="I58" s="64">
        <v>41463750319</v>
      </c>
      <c r="K58" s="65">
        <f>I58/درآمدها!$J$5</f>
        <v>2.2633198271332939E-2</v>
      </c>
      <c r="L58" s="264"/>
    </row>
    <row r="59" spans="1:12" s="111" customFormat="1" ht="15.4" thickBot="1">
      <c r="A59" s="263"/>
      <c r="B59" s="64"/>
      <c r="C59" s="265">
        <f>SUM(C9:C58)</f>
        <v>585597031370</v>
      </c>
      <c r="D59" s="229">
        <f t="shared" ref="D59:J59" si="0">SUM(D9:D58)</f>
        <v>0</v>
      </c>
      <c r="E59" s="265">
        <f>SUM(E9:E58)</f>
        <v>2658370926664</v>
      </c>
      <c r="F59" s="229">
        <f t="shared" si="0"/>
        <v>0</v>
      </c>
      <c r="G59" s="265">
        <f>SUM(G9:G58)</f>
        <v>2395514018946</v>
      </c>
      <c r="H59" s="229">
        <f t="shared" si="0"/>
        <v>0</v>
      </c>
      <c r="I59" s="265">
        <f>SUM(I9:I58)</f>
        <v>848453939088</v>
      </c>
      <c r="J59" s="229">
        <f t="shared" si="0"/>
        <v>0</v>
      </c>
      <c r="K59" s="266">
        <f>SUM(K9:K58)</f>
        <v>0.43133300432748778</v>
      </c>
    </row>
    <row r="60" spans="1:12" ht="13.15" thickTop="1"/>
    <row r="61" spans="1:12">
      <c r="E61" s="267"/>
      <c r="G61" s="267"/>
      <c r="I61" s="66"/>
    </row>
    <row r="62" spans="1:12">
      <c r="E62" s="267"/>
      <c r="G62" s="267"/>
      <c r="I62" s="267"/>
    </row>
    <row r="63" spans="1:12">
      <c r="E63" s="66"/>
      <c r="G63" s="66"/>
      <c r="I63" s="267"/>
    </row>
    <row r="64" spans="1:12">
      <c r="D64" s="66"/>
      <c r="E64" s="66"/>
      <c r="G64" s="66"/>
      <c r="I64" s="66"/>
    </row>
    <row r="65" spans="3:9">
      <c r="C65" s="268"/>
      <c r="D65" s="268"/>
      <c r="E65" s="268"/>
      <c r="G65" s="268"/>
      <c r="I65" s="268"/>
    </row>
    <row r="67" spans="3:9">
      <c r="E67" s="267"/>
      <c r="G67" s="267"/>
      <c r="I67" s="267"/>
    </row>
    <row r="68" spans="3:9">
      <c r="E68" s="267"/>
      <c r="G68" s="267"/>
      <c r="I68" s="267"/>
    </row>
    <row r="69" spans="3:9">
      <c r="D69" s="66"/>
      <c r="E69" s="66"/>
      <c r="F69" s="66"/>
      <c r="G69" s="66"/>
      <c r="H69" s="66"/>
      <c r="I69" s="66"/>
    </row>
  </sheetData>
  <mergeCells count="13">
    <mergeCell ref="E6:G6"/>
    <mergeCell ref="A1:K1"/>
    <mergeCell ref="A2:K2"/>
    <mergeCell ref="A3:K3"/>
    <mergeCell ref="K7:K8"/>
    <mergeCell ref="A4:K4"/>
    <mergeCell ref="I7:I8"/>
    <mergeCell ref="J7:J8"/>
    <mergeCell ref="A7:A8"/>
    <mergeCell ref="B7:B8"/>
    <mergeCell ref="C7:C8"/>
    <mergeCell ref="E7:E8"/>
    <mergeCell ref="G7:G8"/>
  </mergeCells>
  <phoneticPr fontId="52" type="noConversion"/>
  <pageMargins left="0.25" right="0.25" top="0.75" bottom="0.75" header="0.3" footer="0.3"/>
  <pageSetup paperSize="9" fitToHeight="0" orientation="landscape" r:id="rId1"/>
  <rowBreaks count="2" manualBreakCount="2">
    <brk id="28" max="10" man="1"/>
    <brk id="59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  <pageSetUpPr fitToPage="1"/>
  </sheetPr>
  <dimension ref="A1:N39"/>
  <sheetViews>
    <sheetView rightToLeft="1" view="pageBreakPreview" zoomScaleNormal="100" zoomScaleSheetLayoutView="100" workbookViewId="0">
      <selection activeCell="J1" sqref="J1:K1048576"/>
    </sheetView>
  </sheetViews>
  <sheetFormatPr defaultColWidth="9.1328125" defaultRowHeight="13.5"/>
  <cols>
    <col min="1" max="1" width="69.59765625" style="128" bestFit="1" customWidth="1"/>
    <col min="2" max="2" width="1" style="128" customWidth="1"/>
    <col min="3" max="3" width="10.86328125" style="7" bestFit="1" customWidth="1"/>
    <col min="4" max="4" width="1.1328125" style="7" customWidth="1"/>
    <col min="5" max="5" width="20" style="77" customWidth="1"/>
    <col min="6" max="6" width="1" style="7" customWidth="1"/>
    <col min="7" max="7" width="15.1328125" style="7" customWidth="1"/>
    <col min="8" max="8" width="0.3984375" style="7" customWidth="1"/>
    <col min="9" max="9" width="19.1328125" style="7" customWidth="1"/>
    <col min="10" max="10" width="21.265625" style="177" hidden="1" customWidth="1"/>
    <col min="11" max="11" width="21.1328125" style="177" hidden="1" customWidth="1"/>
    <col min="12" max="12" width="22" style="7" bestFit="1" customWidth="1"/>
    <col min="13" max="14" width="13.59765625" style="7" bestFit="1" customWidth="1"/>
    <col min="15" max="16384" width="9.1328125" style="7"/>
  </cols>
  <sheetData>
    <row r="1" spans="1:14" ht="15">
      <c r="A1" s="364" t="s">
        <v>80</v>
      </c>
      <c r="B1" s="364"/>
      <c r="C1" s="364"/>
      <c r="D1" s="364"/>
      <c r="E1" s="364"/>
      <c r="F1" s="364"/>
      <c r="G1" s="364"/>
      <c r="H1" s="364"/>
      <c r="I1" s="364"/>
      <c r="J1" s="165"/>
      <c r="K1" s="165"/>
    </row>
    <row r="2" spans="1:14" ht="15">
      <c r="A2" s="364" t="s">
        <v>44</v>
      </c>
      <c r="B2" s="364"/>
      <c r="C2" s="364"/>
      <c r="D2" s="364"/>
      <c r="E2" s="364"/>
      <c r="F2" s="364"/>
      <c r="G2" s="364"/>
      <c r="H2" s="364"/>
      <c r="I2" s="364"/>
      <c r="J2" s="172"/>
      <c r="K2" s="165"/>
    </row>
    <row r="3" spans="1:14" ht="15.4" thickBot="1">
      <c r="A3" s="364" t="str">
        <f>سپرده!A3</f>
        <v>برای ماه منتهی به 1403/11/30</v>
      </c>
      <c r="B3" s="364"/>
      <c r="C3" s="364"/>
      <c r="D3" s="364"/>
      <c r="E3" s="364"/>
      <c r="F3" s="364"/>
      <c r="G3" s="364"/>
      <c r="H3" s="364"/>
      <c r="I3" s="364"/>
      <c r="J3" s="173"/>
      <c r="K3" s="173"/>
    </row>
    <row r="4" spans="1:14" ht="15.4" thickBot="1">
      <c r="A4" s="114" t="s">
        <v>25</v>
      </c>
      <c r="B4" s="115"/>
      <c r="C4" s="115"/>
      <c r="D4" s="115"/>
      <c r="E4" s="115"/>
      <c r="F4" s="115"/>
      <c r="G4" s="115"/>
      <c r="H4" s="115"/>
      <c r="I4" s="115"/>
      <c r="J4" s="225">
        <v>77884918077</v>
      </c>
      <c r="K4" s="188" t="s">
        <v>79</v>
      </c>
      <c r="M4" s="116"/>
    </row>
    <row r="5" spans="1:14" ht="21.75" customHeight="1" thickBot="1">
      <c r="A5" s="114"/>
      <c r="B5" s="114"/>
      <c r="C5" s="114"/>
      <c r="D5" s="114"/>
      <c r="E5" s="363" t="s">
        <v>208</v>
      </c>
      <c r="F5" s="363"/>
      <c r="G5" s="363"/>
      <c r="H5" s="363"/>
      <c r="I5" s="363"/>
      <c r="J5" s="225">
        <v>1831988118600</v>
      </c>
      <c r="K5" s="189" t="s">
        <v>92</v>
      </c>
    </row>
    <row r="6" spans="1:14" ht="21.75" customHeight="1" thickBot="1">
      <c r="A6" s="117" t="s">
        <v>32</v>
      </c>
      <c r="B6" s="118"/>
      <c r="C6" s="119" t="s">
        <v>33</v>
      </c>
      <c r="D6" s="113"/>
      <c r="E6" s="120" t="s">
        <v>6</v>
      </c>
      <c r="F6" s="113"/>
      <c r="G6" s="119" t="s">
        <v>17</v>
      </c>
      <c r="H6" s="113"/>
      <c r="I6" s="119" t="s">
        <v>78</v>
      </c>
      <c r="J6" s="142"/>
      <c r="K6" s="143"/>
    </row>
    <row r="7" spans="1:14" ht="21" customHeight="1">
      <c r="A7" s="121" t="s">
        <v>102</v>
      </c>
      <c r="B7" s="121"/>
      <c r="C7" s="122" t="s">
        <v>46</v>
      </c>
      <c r="D7" s="115"/>
      <c r="E7" s="123">
        <v>0</v>
      </c>
      <c r="F7" s="115"/>
      <c r="G7" s="155">
        <f>E7/$E$12</f>
        <v>0</v>
      </c>
      <c r="H7" s="124"/>
      <c r="I7" s="156">
        <f>E7/$J$5</f>
        <v>0</v>
      </c>
      <c r="K7" s="174"/>
      <c r="L7" s="125"/>
      <c r="M7" s="132"/>
    </row>
    <row r="8" spans="1:14" ht="21" customHeight="1">
      <c r="A8" s="121" t="s">
        <v>186</v>
      </c>
      <c r="B8" s="121"/>
      <c r="C8" s="122" t="s">
        <v>47</v>
      </c>
      <c r="D8" s="115"/>
      <c r="E8" s="123">
        <v>0</v>
      </c>
      <c r="F8" s="115"/>
      <c r="G8" s="155">
        <f t="shared" ref="G8:G11" si="0">E8/$E$12</f>
        <v>0</v>
      </c>
      <c r="H8" s="124"/>
      <c r="I8" s="156">
        <f t="shared" ref="I8:I11" si="1">E8/$J$5</f>
        <v>0</v>
      </c>
      <c r="J8" s="144"/>
      <c r="K8" s="174"/>
      <c r="L8" s="125"/>
      <c r="M8" s="132"/>
    </row>
    <row r="9" spans="1:14" ht="18.75" customHeight="1">
      <c r="A9" s="121" t="s">
        <v>41</v>
      </c>
      <c r="B9" s="121"/>
      <c r="C9" s="122" t="s">
        <v>48</v>
      </c>
      <c r="D9" s="115"/>
      <c r="E9" s="123">
        <f>'درآمد سرمایه گذاری در اوراق بها'!Q16</f>
        <v>48680733141</v>
      </c>
      <c r="F9" s="115"/>
      <c r="G9" s="155">
        <f t="shared" si="0"/>
        <v>0.73766884952864142</v>
      </c>
      <c r="H9" s="124"/>
      <c r="I9" s="156">
        <f t="shared" si="1"/>
        <v>2.6572624924118871E-2</v>
      </c>
      <c r="J9" s="125"/>
      <c r="K9" s="125"/>
      <c r="L9" s="125"/>
      <c r="M9" s="131"/>
      <c r="N9" s="131"/>
    </row>
    <row r="10" spans="1:14" ht="18.75" customHeight="1">
      <c r="A10" s="121" t="s">
        <v>42</v>
      </c>
      <c r="B10" s="121"/>
      <c r="C10" s="122" t="s">
        <v>49</v>
      </c>
      <c r="D10" s="115"/>
      <c r="E10" s="123">
        <f>'درآمد سپرده بانکی'!I53</f>
        <v>17311431687</v>
      </c>
      <c r="F10" s="115"/>
      <c r="G10" s="155">
        <f t="shared" si="0"/>
        <v>0.26232357387172733</v>
      </c>
      <c r="H10" s="124"/>
      <c r="I10" s="156">
        <f t="shared" si="1"/>
        <v>9.4495327296278235E-3</v>
      </c>
      <c r="J10" s="125"/>
      <c r="K10" s="125"/>
      <c r="L10" s="125"/>
      <c r="M10" s="131"/>
    </row>
    <row r="11" spans="1:14" ht="19.5" customHeight="1" thickBot="1">
      <c r="A11" s="121" t="s">
        <v>27</v>
      </c>
      <c r="B11" s="121"/>
      <c r="C11" s="122" t="s">
        <v>187</v>
      </c>
      <c r="D11" s="115"/>
      <c r="E11" s="192">
        <f>'سایر درآمدها'!E9</f>
        <v>500000</v>
      </c>
      <c r="F11" s="115"/>
      <c r="G11" s="155">
        <f t="shared" si="0"/>
        <v>7.5765996312343974E-6</v>
      </c>
      <c r="H11" s="124"/>
      <c r="I11" s="156">
        <f t="shared" si="1"/>
        <v>2.7292753425829994E-7</v>
      </c>
      <c r="J11" s="125"/>
      <c r="K11" s="125"/>
      <c r="L11" s="125"/>
    </row>
    <row r="12" spans="1:14" ht="19.5" customHeight="1" thickBot="1">
      <c r="A12" s="121" t="s">
        <v>2</v>
      </c>
      <c r="B12" s="126"/>
      <c r="C12" s="111"/>
      <c r="D12" s="111"/>
      <c r="E12" s="127">
        <f>SUM(E7:E11)</f>
        <v>65992664828</v>
      </c>
      <c r="F12" s="111"/>
      <c r="G12" s="157">
        <f>SUM(G7:G11)</f>
        <v>1</v>
      </c>
      <c r="H12" s="158"/>
      <c r="I12" s="159">
        <f>SUM(I7:I11)</f>
        <v>3.6022430581280955E-2</v>
      </c>
      <c r="J12" s="125"/>
      <c r="K12" s="125"/>
      <c r="L12" s="125"/>
    </row>
    <row r="13" spans="1:14" ht="18.75" customHeight="1" thickTop="1">
      <c r="J13" s="125"/>
      <c r="K13" s="125"/>
      <c r="L13" s="125"/>
    </row>
    <row r="14" spans="1:14" ht="18" customHeight="1">
      <c r="E14" s="149"/>
      <c r="F14" s="130"/>
      <c r="G14" s="130"/>
      <c r="I14" s="131"/>
      <c r="J14" s="125"/>
      <c r="K14" s="125"/>
      <c r="L14" s="125"/>
    </row>
    <row r="15" spans="1:14" ht="18" customHeight="1">
      <c r="E15" s="149"/>
      <c r="F15" s="130"/>
      <c r="G15" s="130"/>
      <c r="J15" s="125"/>
      <c r="K15" s="125"/>
      <c r="L15" s="125"/>
    </row>
    <row r="16" spans="1:14" ht="18" customHeight="1">
      <c r="E16" s="132"/>
      <c r="F16" s="130"/>
      <c r="G16" s="130"/>
      <c r="H16" s="130"/>
      <c r="J16" s="176"/>
      <c r="K16" s="125"/>
      <c r="L16" s="125"/>
      <c r="M16" s="125"/>
    </row>
    <row r="17" spans="2:11" ht="18" customHeight="1">
      <c r="E17" s="133"/>
      <c r="F17" s="130"/>
      <c r="G17" s="130"/>
      <c r="I17" s="131"/>
      <c r="J17" s="134"/>
      <c r="K17" s="134"/>
    </row>
    <row r="18" spans="2:11" ht="17.45" customHeight="1">
      <c r="B18" s="181">
        <v>-356455</v>
      </c>
      <c r="E18" s="130"/>
      <c r="F18" s="130"/>
      <c r="G18" s="130"/>
      <c r="I18" s="131"/>
      <c r="J18" s="134"/>
      <c r="K18" s="134"/>
    </row>
    <row r="19" spans="2:11" ht="17.45" customHeight="1">
      <c r="B19" s="181">
        <v>-205678</v>
      </c>
      <c r="E19" s="130"/>
      <c r="F19" s="130"/>
      <c r="G19" s="130"/>
      <c r="K19" s="178"/>
    </row>
    <row r="20" spans="2:11" ht="17.45" customHeight="1">
      <c r="B20" s="181">
        <v>-566700</v>
      </c>
      <c r="E20" s="130"/>
      <c r="K20" s="178"/>
    </row>
    <row r="21" spans="2:11">
      <c r="B21" s="181">
        <v>-13277232</v>
      </c>
      <c r="C21" s="129"/>
      <c r="E21" s="129"/>
      <c r="G21" s="129"/>
      <c r="J21" s="175"/>
      <c r="K21" s="178"/>
    </row>
    <row r="22" spans="2:11">
      <c r="B22" s="181">
        <v>-44132676</v>
      </c>
      <c r="C22" s="132"/>
      <c r="G22" s="129"/>
      <c r="J22" s="175"/>
      <c r="K22" s="178"/>
    </row>
    <row r="23" spans="2:11">
      <c r="B23" s="181">
        <v>-669467</v>
      </c>
      <c r="G23" s="129"/>
      <c r="K23" s="178"/>
    </row>
    <row r="24" spans="2:11">
      <c r="B24" s="181">
        <v>-278224</v>
      </c>
      <c r="G24" s="132"/>
      <c r="K24" s="178"/>
    </row>
    <row r="25" spans="2:11">
      <c r="B25" s="181">
        <v>-2331466</v>
      </c>
      <c r="K25" s="178"/>
    </row>
    <row r="26" spans="2:11">
      <c r="B26" s="181">
        <v>-17573113</v>
      </c>
      <c r="K26" s="178"/>
    </row>
    <row r="27" spans="2:11">
      <c r="B27" s="181">
        <v>-1408954</v>
      </c>
      <c r="K27" s="178"/>
    </row>
    <row r="28" spans="2:11" ht="18.75" customHeight="1">
      <c r="B28" s="181">
        <v>-1015178</v>
      </c>
      <c r="K28" s="178"/>
    </row>
    <row r="29" spans="2:11">
      <c r="B29" s="181">
        <v>-14498169</v>
      </c>
      <c r="K29" s="178"/>
    </row>
    <row r="30" spans="2:11">
      <c r="B30" s="181">
        <v>-470772</v>
      </c>
      <c r="K30" s="178"/>
    </row>
    <row r="31" spans="2:11">
      <c r="B31" s="181">
        <v>-854039</v>
      </c>
      <c r="K31" s="178"/>
    </row>
    <row r="32" spans="2:11">
      <c r="B32" s="181">
        <v>-2219417</v>
      </c>
      <c r="K32" s="178"/>
    </row>
    <row r="33" spans="2:11">
      <c r="B33" s="181">
        <v>-3940834</v>
      </c>
      <c r="K33" s="178"/>
    </row>
    <row r="34" spans="2:11">
      <c r="K34" s="178"/>
    </row>
    <row r="35" spans="2:11">
      <c r="K35" s="178"/>
    </row>
    <row r="37" spans="2:11" ht="18.75" customHeight="1"/>
    <row r="38" spans="2:11" ht="17.45" customHeight="1"/>
    <row r="39" spans="2:11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0.79998168889431442"/>
    <pageSetUpPr fitToPage="1"/>
  </sheetPr>
  <dimension ref="A1:U19"/>
  <sheetViews>
    <sheetView rightToLeft="1" view="pageBreakPreview" zoomScale="25" zoomScaleNormal="100" zoomScaleSheetLayoutView="25" workbookViewId="0">
      <selection activeCell="M8" sqref="M8:M9"/>
    </sheetView>
  </sheetViews>
  <sheetFormatPr defaultColWidth="9.1328125" defaultRowHeight="12.75"/>
  <cols>
    <col min="1" max="1" width="49.86328125" style="37" customWidth="1"/>
    <col min="2" max="2" width="1.265625" style="37" customWidth="1"/>
    <col min="3" max="3" width="26.59765625" style="44" customWidth="1"/>
    <col min="4" max="4" width="1" style="37" customWidth="1"/>
    <col min="5" max="5" width="28.3984375" style="45" customWidth="1"/>
    <col min="6" max="6" width="1.3984375" style="45" customWidth="1"/>
    <col min="7" max="7" width="26.59765625" style="45" customWidth="1"/>
    <col min="8" max="8" width="1" style="46" customWidth="1"/>
    <col min="9" max="9" width="28.3984375" style="46" customWidth="1"/>
    <col min="10" max="10" width="2" style="46" customWidth="1"/>
    <col min="11" max="11" width="28.59765625" style="47" customWidth="1"/>
    <col min="12" max="12" width="1.59765625" style="37" customWidth="1"/>
    <col min="13" max="13" width="28.3984375" style="44" bestFit="1" customWidth="1"/>
    <col min="14" max="14" width="0.86328125" style="44" customWidth="1"/>
    <col min="15" max="15" width="28.3984375" style="45" bestFit="1" customWidth="1"/>
    <col min="16" max="16" width="0.86328125" style="45" customWidth="1"/>
    <col min="17" max="17" width="28.3984375" style="45" bestFit="1" customWidth="1"/>
    <col min="18" max="18" width="0.86328125" style="45" customWidth="1"/>
    <col min="19" max="19" width="27.1328125" style="45" customWidth="1"/>
    <col min="20" max="20" width="1.3984375" style="45" customWidth="1"/>
    <col min="21" max="21" width="29.86328125" style="47" customWidth="1"/>
    <col min="22" max="16384" width="9.1328125" style="37"/>
  </cols>
  <sheetData>
    <row r="1" spans="1:21" ht="22.5">
      <c r="A1" s="372" t="s">
        <v>80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</row>
    <row r="2" spans="1:21" ht="22.5">
      <c r="A2" s="372" t="s">
        <v>50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</row>
    <row r="3" spans="1:21" ht="22.5">
      <c r="A3" s="372" t="str">
        <f>' سهام'!A3:W3</f>
        <v>برای ماه منتهی به 1403/11/30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</row>
    <row r="5" spans="1:21" s="38" customFormat="1" ht="22.5">
      <c r="A5" s="346" t="s">
        <v>26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</row>
    <row r="6" spans="1:21" s="38" customFormat="1" ht="9.75" customHeight="1">
      <c r="C6" s="35"/>
      <c r="E6" s="39"/>
      <c r="F6" s="39"/>
      <c r="G6" s="39"/>
      <c r="H6" s="40"/>
      <c r="I6" s="40"/>
      <c r="J6" s="40"/>
      <c r="K6" s="41"/>
      <c r="M6" s="35"/>
      <c r="N6" s="35"/>
      <c r="O6" s="39"/>
      <c r="P6" s="39"/>
      <c r="Q6" s="39"/>
      <c r="R6" s="39"/>
      <c r="S6" s="39"/>
      <c r="T6" s="39"/>
      <c r="U6" s="41"/>
    </row>
    <row r="7" spans="1:21" s="38" customFormat="1" ht="27" customHeight="1" thickBot="1">
      <c r="A7" s="42"/>
      <c r="B7" s="9"/>
      <c r="C7" s="365" t="s">
        <v>209</v>
      </c>
      <c r="D7" s="365"/>
      <c r="E7" s="365"/>
      <c r="F7" s="365"/>
      <c r="G7" s="365"/>
      <c r="H7" s="365"/>
      <c r="I7" s="365"/>
      <c r="J7" s="365"/>
      <c r="K7" s="365"/>
      <c r="L7" s="9"/>
      <c r="M7" s="365" t="s">
        <v>210</v>
      </c>
      <c r="N7" s="365"/>
      <c r="O7" s="365"/>
      <c r="P7" s="365"/>
      <c r="Q7" s="365"/>
      <c r="R7" s="365"/>
      <c r="S7" s="365"/>
      <c r="T7" s="365"/>
      <c r="U7" s="365"/>
    </row>
    <row r="8" spans="1:21" s="19" customFormat="1" ht="24.75" customHeight="1">
      <c r="A8" s="366" t="s">
        <v>22</v>
      </c>
      <c r="B8" s="366"/>
      <c r="C8" s="373" t="s">
        <v>10</v>
      </c>
      <c r="D8" s="368"/>
      <c r="E8" s="375" t="s">
        <v>11</v>
      </c>
      <c r="F8" s="369"/>
      <c r="G8" s="375" t="s">
        <v>12</v>
      </c>
      <c r="H8" s="381"/>
      <c r="I8" s="377" t="s">
        <v>2</v>
      </c>
      <c r="J8" s="377"/>
      <c r="K8" s="377"/>
      <c r="L8" s="366"/>
      <c r="M8" s="373" t="s">
        <v>10</v>
      </c>
      <c r="N8" s="378"/>
      <c r="O8" s="375" t="s">
        <v>11</v>
      </c>
      <c r="P8" s="369"/>
      <c r="Q8" s="375" t="s">
        <v>12</v>
      </c>
      <c r="R8" s="369"/>
      <c r="S8" s="377" t="s">
        <v>2</v>
      </c>
      <c r="T8" s="377"/>
      <c r="U8" s="377"/>
    </row>
    <row r="9" spans="1:21" s="19" customFormat="1" ht="6" customHeight="1" thickBot="1">
      <c r="A9" s="366"/>
      <c r="B9" s="366"/>
      <c r="C9" s="374"/>
      <c r="D9" s="366"/>
      <c r="E9" s="376"/>
      <c r="F9" s="370"/>
      <c r="G9" s="376"/>
      <c r="H9" s="382"/>
      <c r="I9" s="365"/>
      <c r="J9" s="365"/>
      <c r="K9" s="365"/>
      <c r="L9" s="366"/>
      <c r="M9" s="374"/>
      <c r="N9" s="379"/>
      <c r="O9" s="376"/>
      <c r="P9" s="370"/>
      <c r="Q9" s="376"/>
      <c r="R9" s="370"/>
      <c r="S9" s="365"/>
      <c r="T9" s="365"/>
      <c r="U9" s="365"/>
    </row>
    <row r="10" spans="1:21" s="19" customFormat="1" ht="42.75" customHeight="1" thickBot="1">
      <c r="A10" s="367"/>
      <c r="B10" s="366"/>
      <c r="C10" s="49" t="s">
        <v>53</v>
      </c>
      <c r="D10" s="366"/>
      <c r="E10" s="50" t="s">
        <v>54</v>
      </c>
      <c r="F10" s="371"/>
      <c r="G10" s="50" t="s">
        <v>55</v>
      </c>
      <c r="H10" s="382"/>
      <c r="I10" s="10" t="s">
        <v>6</v>
      </c>
      <c r="J10" s="224"/>
      <c r="K10" s="48" t="s">
        <v>17</v>
      </c>
      <c r="L10" s="366"/>
      <c r="M10" s="49" t="s">
        <v>53</v>
      </c>
      <c r="N10" s="380"/>
      <c r="O10" s="50" t="s">
        <v>54</v>
      </c>
      <c r="P10" s="371"/>
      <c r="Q10" s="50" t="s">
        <v>55</v>
      </c>
      <c r="R10" s="371"/>
      <c r="S10" s="11" t="s">
        <v>6</v>
      </c>
      <c r="T10" s="220"/>
      <c r="U10" s="48" t="s">
        <v>17</v>
      </c>
    </row>
    <row r="11" spans="1:21" s="43" customFormat="1" ht="25.5" customHeight="1" thickBot="1">
      <c r="C11" s="36"/>
      <c r="D11" s="57"/>
      <c r="E11" s="36"/>
      <c r="F11" s="57"/>
      <c r="G11" s="36"/>
      <c r="H11" s="57"/>
      <c r="I11" s="36"/>
      <c r="J11" s="223"/>
      <c r="K11" s="56"/>
      <c r="M11" s="36"/>
      <c r="N11" s="24"/>
      <c r="O11" s="36"/>
      <c r="P11" s="24"/>
      <c r="Q11" s="36"/>
      <c r="R11" s="24"/>
      <c r="S11" s="36"/>
      <c r="T11" s="223"/>
      <c r="U11" s="56"/>
    </row>
    <row r="12" spans="1:21" ht="25.5" customHeight="1" thickTop="1">
      <c r="D12" s="24">
        <v>0</v>
      </c>
      <c r="F12" s="24">
        <v>0</v>
      </c>
      <c r="H12" s="24">
        <v>0</v>
      </c>
      <c r="J12" s="6">
        <v>0</v>
      </c>
      <c r="L12" s="20"/>
      <c r="N12" s="24"/>
      <c r="O12" s="46"/>
      <c r="P12" s="24"/>
      <c r="Q12" s="46"/>
      <c r="R12" s="24"/>
      <c r="S12" s="46"/>
      <c r="T12" s="46"/>
    </row>
    <row r="13" spans="1:21" s="52" customFormat="1" ht="27.4"/>
    <row r="14" spans="1:21" s="52" customFormat="1" ht="27.4"/>
    <row r="15" spans="1:21" s="52" customFormat="1" ht="27.4"/>
    <row r="19" spans="4:8" ht="27.4">
      <c r="D19" s="53"/>
      <c r="E19" s="54"/>
      <c r="F19" s="54"/>
      <c r="G19" s="54"/>
      <c r="H19" s="55"/>
    </row>
  </sheetData>
  <autoFilter ref="A10:U10" xr:uid="{00000000-0009-0000-0000-00000A000000}">
    <sortState xmlns:xlrd2="http://schemas.microsoft.com/office/spreadsheetml/2017/richdata2" ref="A12:U52">
      <sortCondition descending="1" ref="S10"/>
    </sortState>
  </autoFilter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315E5-73A2-46D4-B5E9-51E071AE912D}">
  <dimension ref="A1:S12"/>
  <sheetViews>
    <sheetView rightToLeft="1" view="pageBreakPreview" zoomScale="85" zoomScaleNormal="100" zoomScaleSheetLayoutView="85" workbookViewId="0">
      <selection activeCell="L8" sqref="L8:L9"/>
    </sheetView>
  </sheetViews>
  <sheetFormatPr defaultColWidth="9.1328125" defaultRowHeight="12.75"/>
  <cols>
    <col min="1" max="1" width="30.1328125" style="203" customWidth="1"/>
    <col min="2" max="2" width="0.59765625" style="203" customWidth="1"/>
    <col min="3" max="3" width="9.1328125" style="203" customWidth="1"/>
    <col min="4" max="4" width="0.3984375" style="203" customWidth="1"/>
    <col min="5" max="5" width="9.1328125" style="203"/>
    <col min="6" max="6" width="0.86328125" style="203" customWidth="1"/>
    <col min="7" max="7" width="9.1328125" style="203"/>
    <col min="8" max="8" width="1" style="203" customWidth="1"/>
    <col min="9" max="9" width="9.1328125" style="203"/>
    <col min="10" max="10" width="12.59765625" style="203" customWidth="1"/>
    <col min="11" max="11" width="0.73046875" style="203" customWidth="1"/>
    <col min="12" max="12" width="9.1328125" style="203"/>
    <col min="13" max="13" width="0.59765625" style="203" customWidth="1"/>
    <col min="14" max="14" width="9.1328125" style="203"/>
    <col min="15" max="15" width="0.86328125" style="203" customWidth="1"/>
    <col min="16" max="16" width="9.86328125" style="203" bestFit="1" customWidth="1"/>
    <col min="17" max="17" width="0.86328125" style="203" customWidth="1"/>
    <col min="18" max="18" width="9.86328125" style="203" bestFit="1" customWidth="1"/>
    <col min="19" max="19" width="10.59765625" style="203" customWidth="1"/>
    <col min="20" max="16384" width="9.1328125" style="203"/>
  </cols>
  <sheetData>
    <row r="1" spans="1:19" ht="15">
      <c r="A1" s="390" t="s">
        <v>80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</row>
    <row r="2" spans="1:19" ht="15">
      <c r="A2" s="390" t="s">
        <v>50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</row>
    <row r="3" spans="1:19" ht="15">
      <c r="A3" s="390" t="s">
        <v>207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</row>
    <row r="5" spans="1:19" ht="15">
      <c r="A5" s="391" t="s">
        <v>179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</row>
    <row r="7" spans="1:19" ht="19.5" customHeight="1" thickBot="1">
      <c r="A7" s="204"/>
      <c r="B7" s="205"/>
      <c r="C7" s="387" t="s">
        <v>209</v>
      </c>
      <c r="D7" s="387"/>
      <c r="E7" s="387"/>
      <c r="F7" s="387"/>
      <c r="G7" s="387"/>
      <c r="H7" s="387"/>
      <c r="I7" s="387"/>
      <c r="J7" s="387"/>
      <c r="K7" s="205"/>
      <c r="L7" s="387" t="s">
        <v>210</v>
      </c>
      <c r="M7" s="387"/>
      <c r="N7" s="387"/>
      <c r="O7" s="387"/>
      <c r="P7" s="387"/>
      <c r="Q7" s="387"/>
      <c r="R7" s="387"/>
      <c r="S7" s="387"/>
    </row>
    <row r="8" spans="1:19" ht="19.5" customHeight="1">
      <c r="A8" s="388" t="s">
        <v>180</v>
      </c>
      <c r="B8" s="386"/>
      <c r="C8" s="383" t="s">
        <v>181</v>
      </c>
      <c r="D8" s="385"/>
      <c r="E8" s="383" t="s">
        <v>11</v>
      </c>
      <c r="F8" s="385"/>
      <c r="G8" s="383" t="s">
        <v>12</v>
      </c>
      <c r="H8" s="385"/>
      <c r="I8" s="383" t="s">
        <v>2</v>
      </c>
      <c r="J8" s="383"/>
      <c r="K8" s="386"/>
      <c r="L8" s="383" t="s">
        <v>181</v>
      </c>
      <c r="M8" s="385"/>
      <c r="N8" s="383" t="s">
        <v>11</v>
      </c>
      <c r="O8" s="385"/>
      <c r="P8" s="383" t="s">
        <v>12</v>
      </c>
      <c r="Q8" s="385"/>
      <c r="R8" s="383" t="s">
        <v>2</v>
      </c>
      <c r="S8" s="383"/>
    </row>
    <row r="9" spans="1:19" ht="18.75" customHeight="1" thickBot="1">
      <c r="A9" s="388"/>
      <c r="B9" s="386"/>
      <c r="C9" s="384"/>
      <c r="D9" s="386"/>
      <c r="E9" s="384"/>
      <c r="F9" s="386"/>
      <c r="G9" s="384"/>
      <c r="H9" s="386"/>
      <c r="I9" s="387"/>
      <c r="J9" s="387"/>
      <c r="K9" s="386"/>
      <c r="L9" s="384"/>
      <c r="M9" s="386"/>
      <c r="N9" s="384"/>
      <c r="O9" s="386"/>
      <c r="P9" s="384"/>
      <c r="Q9" s="386"/>
      <c r="R9" s="387"/>
      <c r="S9" s="387"/>
    </row>
    <row r="10" spans="1:19" ht="28.5" customHeight="1" thickBot="1">
      <c r="A10" s="389"/>
      <c r="B10" s="386"/>
      <c r="C10" s="207" t="s">
        <v>182</v>
      </c>
      <c r="D10" s="386"/>
      <c r="E10" s="207" t="s">
        <v>54</v>
      </c>
      <c r="F10" s="386"/>
      <c r="G10" s="207" t="s">
        <v>55</v>
      </c>
      <c r="H10" s="386"/>
      <c r="I10" s="208" t="s">
        <v>6</v>
      </c>
      <c r="J10" s="208" t="s">
        <v>183</v>
      </c>
      <c r="K10" s="386"/>
      <c r="L10" s="207" t="s">
        <v>182</v>
      </c>
      <c r="M10" s="386"/>
      <c r="N10" s="207" t="s">
        <v>54</v>
      </c>
      <c r="O10" s="386"/>
      <c r="P10" s="207" t="s">
        <v>55</v>
      </c>
      <c r="Q10" s="386"/>
      <c r="R10" s="208" t="s">
        <v>6</v>
      </c>
      <c r="S10" s="208" t="s">
        <v>183</v>
      </c>
    </row>
    <row r="11" spans="1:19" ht="13.15" thickBot="1">
      <c r="A11" s="209" t="s">
        <v>2</v>
      </c>
      <c r="B11" s="206"/>
      <c r="C11" s="211"/>
      <c r="D11" s="210"/>
      <c r="E11" s="211"/>
      <c r="F11" s="210"/>
      <c r="G11" s="211"/>
      <c r="H11" s="210"/>
      <c r="I11" s="211"/>
      <c r="J11" s="211"/>
      <c r="K11" s="210"/>
      <c r="L11" s="211"/>
      <c r="M11" s="210"/>
      <c r="N11" s="211"/>
      <c r="O11" s="210"/>
      <c r="P11" s="211"/>
      <c r="Q11" s="210"/>
      <c r="R11" s="211"/>
      <c r="S11" s="211"/>
    </row>
    <row r="12" spans="1:19" ht="13.15" thickTop="1"/>
  </sheetData>
  <mergeCells count="23">
    <mergeCell ref="A1:S1"/>
    <mergeCell ref="A2:S2"/>
    <mergeCell ref="A3:S3"/>
    <mergeCell ref="A5:S5"/>
    <mergeCell ref="C7:J7"/>
    <mergeCell ref="L7:S7"/>
    <mergeCell ref="M8:M10"/>
    <mergeCell ref="A8:A10"/>
    <mergeCell ref="B8:B10"/>
    <mergeCell ref="C8:C9"/>
    <mergeCell ref="D8:D10"/>
    <mergeCell ref="E8:E9"/>
    <mergeCell ref="F8:F10"/>
    <mergeCell ref="G8:G9"/>
    <mergeCell ref="H8:H10"/>
    <mergeCell ref="I8:J9"/>
    <mergeCell ref="K8:K10"/>
    <mergeCell ref="L8:L9"/>
    <mergeCell ref="N8:N9"/>
    <mergeCell ref="O8:O10"/>
    <mergeCell ref="P8:P9"/>
    <mergeCell ref="Q8:Q10"/>
    <mergeCell ref="R8:S9"/>
  </mergeCells>
  <pageMargins left="0.7" right="0.7" top="0.75" bottom="0.75" header="0.3" footer="0.3"/>
  <pageSetup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 tint="0.79998168889431442"/>
    <pageSetUpPr fitToPage="1"/>
  </sheetPr>
  <dimension ref="A1:T25"/>
  <sheetViews>
    <sheetView rightToLeft="1" view="pageBreakPreview" zoomScale="85" zoomScaleNormal="100" zoomScaleSheetLayoutView="85" workbookViewId="0">
      <selection activeCell="B1" sqref="A1:XFD1048576"/>
    </sheetView>
  </sheetViews>
  <sheetFormatPr defaultColWidth="9.1328125" defaultRowHeight="17.25"/>
  <cols>
    <col min="1" max="1" width="38.86328125" style="99" customWidth="1"/>
    <col min="2" max="2" width="0.3984375" style="99" customWidth="1"/>
    <col min="3" max="3" width="21.1328125" style="99" bestFit="1" customWidth="1"/>
    <col min="4" max="4" width="0.73046875" style="99" customWidth="1"/>
    <col min="5" max="5" width="20" style="99" bestFit="1" customWidth="1"/>
    <col min="6" max="6" width="0.59765625" style="99" customWidth="1"/>
    <col min="7" max="7" width="21" style="99" customWidth="1"/>
    <col min="8" max="8" width="0.59765625" style="99" customWidth="1"/>
    <col min="9" max="9" width="22.86328125" style="99" bestFit="1" customWidth="1"/>
    <col min="10" max="10" width="0.3984375" style="99" customWidth="1"/>
    <col min="11" max="11" width="22.86328125" style="99" bestFit="1" customWidth="1"/>
    <col min="12" max="12" width="0.59765625" style="99" customWidth="1"/>
    <col min="13" max="13" width="21.1328125" style="99" bestFit="1" customWidth="1"/>
    <col min="14" max="14" width="0.86328125" style="99" customWidth="1"/>
    <col min="15" max="15" width="21.1328125" style="99" bestFit="1" customWidth="1"/>
    <col min="16" max="16" width="0.59765625" style="99" customWidth="1"/>
    <col min="17" max="17" width="22.86328125" style="99" bestFit="1" customWidth="1"/>
    <col min="18" max="18" width="16" style="99" bestFit="1" customWidth="1"/>
    <col min="19" max="19" width="15.3984375" style="99" bestFit="1" customWidth="1"/>
    <col min="20" max="16384" width="9.1328125" style="99"/>
  </cols>
  <sheetData>
    <row r="1" spans="1:20" ht="21" customHeight="1">
      <c r="A1" s="397" t="s">
        <v>80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</row>
    <row r="2" spans="1:20" ht="21.75" customHeight="1">
      <c r="A2" s="397" t="s">
        <v>50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</row>
    <row r="3" spans="1:20" ht="23.25" customHeight="1">
      <c r="A3" s="397" t="str">
        <f>' سهام'!A3:W3</f>
        <v>برای ماه منتهی به 1403/11/30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</row>
    <row r="4" spans="1:20">
      <c r="A4" s="354" t="s">
        <v>184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</row>
    <row r="5" spans="1:20" ht="4.5" customHeight="1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20" ht="22.5" customHeight="1" thickBot="1">
      <c r="A6" s="135"/>
      <c r="B6" s="136"/>
      <c r="C6" s="396" t="s">
        <v>209</v>
      </c>
      <c r="D6" s="396"/>
      <c r="E6" s="396"/>
      <c r="F6" s="396"/>
      <c r="G6" s="396"/>
      <c r="H6" s="396"/>
      <c r="I6" s="396"/>
      <c r="J6" s="112"/>
      <c r="K6" s="396" t="s">
        <v>210</v>
      </c>
      <c r="L6" s="396"/>
      <c r="M6" s="396"/>
      <c r="N6" s="396"/>
      <c r="O6" s="396"/>
      <c r="P6" s="396"/>
      <c r="Q6" s="396"/>
    </row>
    <row r="7" spans="1:20" ht="15.75" customHeight="1">
      <c r="A7" s="392"/>
      <c r="B7" s="393"/>
      <c r="C7" s="394" t="s">
        <v>13</v>
      </c>
      <c r="D7" s="394"/>
      <c r="E7" s="394" t="s">
        <v>11</v>
      </c>
      <c r="F7" s="392"/>
      <c r="G7" s="394" t="s">
        <v>12</v>
      </c>
      <c r="H7" s="392"/>
      <c r="I7" s="394" t="s">
        <v>2</v>
      </c>
      <c r="J7" s="137"/>
      <c r="K7" s="394" t="s">
        <v>13</v>
      </c>
      <c r="L7" s="394"/>
      <c r="M7" s="394" t="s">
        <v>11</v>
      </c>
      <c r="N7" s="392"/>
      <c r="O7" s="394" t="s">
        <v>12</v>
      </c>
      <c r="P7" s="392"/>
      <c r="Q7" s="394" t="s">
        <v>2</v>
      </c>
    </row>
    <row r="8" spans="1:20" ht="12" customHeight="1">
      <c r="A8" s="393"/>
      <c r="B8" s="393"/>
      <c r="C8" s="395"/>
      <c r="D8" s="395"/>
      <c r="E8" s="395"/>
      <c r="F8" s="393"/>
      <c r="G8" s="395"/>
      <c r="H8" s="393"/>
      <c r="I8" s="395"/>
      <c r="J8" s="137"/>
      <c r="K8" s="395"/>
      <c r="L8" s="395"/>
      <c r="M8" s="395"/>
      <c r="N8" s="393"/>
      <c r="O8" s="395"/>
      <c r="P8" s="393"/>
      <c r="Q8" s="395"/>
    </row>
    <row r="9" spans="1:20" ht="20.25" customHeight="1" thickBot="1">
      <c r="A9" s="393"/>
      <c r="B9" s="393"/>
      <c r="C9" s="269" t="s">
        <v>58</v>
      </c>
      <c r="D9" s="395"/>
      <c r="E9" s="269" t="s">
        <v>54</v>
      </c>
      <c r="F9" s="393"/>
      <c r="G9" s="269" t="s">
        <v>55</v>
      </c>
      <c r="H9" s="393"/>
      <c r="I9" s="396"/>
      <c r="J9" s="138"/>
      <c r="K9" s="269" t="s">
        <v>58</v>
      </c>
      <c r="L9" s="395"/>
      <c r="M9" s="269" t="s">
        <v>54</v>
      </c>
      <c r="N9" s="393"/>
      <c r="O9" s="269" t="s">
        <v>55</v>
      </c>
      <c r="P9" s="393"/>
      <c r="Q9" s="396"/>
    </row>
    <row r="10" spans="1:20" ht="20.25" customHeight="1">
      <c r="A10" s="112" t="s">
        <v>166</v>
      </c>
      <c r="B10" s="112"/>
      <c r="C10" s="67">
        <f>IFERROR(VLOOKUP(A10,'سود اوراق بهادار'!$A$7:$Q$11,11,0),0)</f>
        <v>5835844538</v>
      </c>
      <c r="D10" s="137"/>
      <c r="E10" s="67">
        <f>IFERROR(VLOOKUP(A10,'درآمد ناشی از تغییر قیمت اوراق '!$A$7:$Q$11,9,0),0)</f>
        <v>0</v>
      </c>
      <c r="F10" s="112"/>
      <c r="G10" s="67">
        <f>IFERROR(VLOOKUP(A10,'درآمد ناشی ازفروش'!$A$7:$Q$7,9,0),0)</f>
        <v>0</v>
      </c>
      <c r="H10" s="112"/>
      <c r="I10" s="67">
        <f>G10+E10+C10</f>
        <v>5835844538</v>
      </c>
      <c r="J10" s="138"/>
      <c r="K10" s="67">
        <f>IFERROR(VLOOKUP(A10,'سود اوراق بهادار'!$A$7:$Q$11,17,0),0)</f>
        <v>12102084760</v>
      </c>
      <c r="L10" s="137"/>
      <c r="M10" s="67">
        <f>IFERROR(VLOOKUP(A10,'درآمد ناشی از تغییر قیمت اوراق '!$A$7:$Q$11,17,0),0)</f>
        <v>0</v>
      </c>
      <c r="N10" s="112"/>
      <c r="O10" s="67">
        <f>IFERROR(VLOOKUP(A10,'درآمد ناشی ازفروش'!$A$7:$Q$7,17,0),0)</f>
        <v>0</v>
      </c>
      <c r="P10" s="112"/>
      <c r="Q10" s="67">
        <f>K10+M10+O10</f>
        <v>12102084760</v>
      </c>
      <c r="R10" s="270"/>
      <c r="S10" s="270"/>
      <c r="T10" s="270"/>
    </row>
    <row r="11" spans="1:20" ht="27.75" customHeight="1">
      <c r="A11" s="112" t="s">
        <v>117</v>
      </c>
      <c r="B11" s="112"/>
      <c r="C11" s="67">
        <f>IFERROR(VLOOKUP(A11,'سود اوراق بهادار'!$A$7:$Q$11,11,0),0)</f>
        <v>9066171469</v>
      </c>
      <c r="D11" s="137"/>
      <c r="E11" s="67">
        <f>IFERROR(VLOOKUP(A11,'درآمد ناشی از تغییر قیمت اوراق '!$A$7:$Q$11,9,0),0)</f>
        <v>0</v>
      </c>
      <c r="F11" s="112"/>
      <c r="G11" s="67">
        <f>IFERROR(VLOOKUP(A11,'درآمد ناشی ازفروش'!$A$7:$Q$7,9,0),0)</f>
        <v>0</v>
      </c>
      <c r="H11" s="112"/>
      <c r="I11" s="67">
        <f t="shared" ref="I11:I15" si="0">G11+E11+C11</f>
        <v>9066171469</v>
      </c>
      <c r="J11" s="138"/>
      <c r="K11" s="67">
        <f>IFERROR(VLOOKUP(A11,'سود اوراق بهادار'!$A$7:$Q$11,17,0),0)</f>
        <v>18038844154</v>
      </c>
      <c r="L11" s="137"/>
      <c r="M11" s="67">
        <f>IFERROR(VLOOKUP(A11,'درآمد ناشی از تغییر قیمت اوراق '!$A$7:$Q$11,17,0),0)</f>
        <v>0</v>
      </c>
      <c r="N11" s="112"/>
      <c r="O11" s="67">
        <f>IFERROR(VLOOKUP(A11,'درآمد ناشی ازفروش'!$A$7:$Q$7,17,0),0)</f>
        <v>0</v>
      </c>
      <c r="P11" s="112"/>
      <c r="Q11" s="67">
        <f t="shared" ref="Q11:Q15" si="1">K11+M11+O11</f>
        <v>18038844154</v>
      </c>
      <c r="R11" s="270"/>
      <c r="S11" s="270"/>
      <c r="T11" s="270"/>
    </row>
    <row r="12" spans="1:20" ht="27.75" customHeight="1">
      <c r="A12" s="112" t="s">
        <v>192</v>
      </c>
      <c r="B12" s="112"/>
      <c r="C12" s="67">
        <f>IFERROR(VLOOKUP(A12,'سود اوراق بهادار'!$A$7:$Q$11,11,0),0)</f>
        <v>2123178279</v>
      </c>
      <c r="D12" s="137"/>
      <c r="E12" s="67">
        <f>IFERROR(VLOOKUP(A12,'درآمد ناشی از تغییر قیمت اوراق '!$A$7:$Q$11,9,0),0)</f>
        <v>0</v>
      </c>
      <c r="F12" s="112"/>
      <c r="G12" s="67">
        <f>IFERROR(VLOOKUP(A12,'درآمد ناشی ازفروش'!$A$7:$Q$7,9,0),0)</f>
        <v>0</v>
      </c>
      <c r="H12" s="112"/>
      <c r="I12" s="67">
        <f>G12+E12+C12</f>
        <v>2123178279</v>
      </c>
      <c r="J12" s="138"/>
      <c r="K12" s="67">
        <f>IFERROR(VLOOKUP(A12,'سود اوراق بهادار'!$A$7:$Q$11,17,0),0)</f>
        <v>3432224636</v>
      </c>
      <c r="L12" s="137"/>
      <c r="M12" s="67">
        <f>IFERROR(VLOOKUP(A12,'درآمد ناشی از تغییر قیمت اوراق '!$A$7:$Q$11,17,0),0)</f>
        <v>-32900000</v>
      </c>
      <c r="N12" s="112"/>
      <c r="O12" s="67">
        <f>IFERROR(VLOOKUP(A12,'درآمد ناشی ازفروش'!$A$7:$Q$7,17,0),0)</f>
        <v>0</v>
      </c>
      <c r="P12" s="112"/>
      <c r="Q12" s="67">
        <f t="shared" si="1"/>
        <v>3399324636</v>
      </c>
      <c r="R12" s="270"/>
      <c r="S12" s="270"/>
      <c r="T12" s="270"/>
    </row>
    <row r="13" spans="1:20" ht="27.75" customHeight="1">
      <c r="A13" s="112" t="s">
        <v>104</v>
      </c>
      <c r="B13" s="112"/>
      <c r="C13" s="67">
        <f>IFERROR(VLOOKUP(A13,'سود اوراق بهادار'!$A$7:$Q$11,11,0),0)</f>
        <v>0</v>
      </c>
      <c r="D13" s="137"/>
      <c r="E13" s="67">
        <f>IFERROR(VLOOKUP(A13,'درآمد ناشی از تغییر قیمت اوراق '!$A$7:$Q$11,9,0),0)</f>
        <v>0</v>
      </c>
      <c r="F13" s="112"/>
      <c r="G13" s="67">
        <f>IFERROR(VLOOKUP(A13,'درآمد ناشی ازفروش'!$A$7:$Q$7,9,0),0)</f>
        <v>0</v>
      </c>
      <c r="H13" s="112"/>
      <c r="I13" s="67">
        <f t="shared" si="0"/>
        <v>0</v>
      </c>
      <c r="J13" s="138"/>
      <c r="K13" s="67">
        <f>IFERROR(VLOOKUP(A13,'سود اوراق بهادار'!$A$7:$Q$11,17,0),0)</f>
        <v>1298748528</v>
      </c>
      <c r="L13" s="137"/>
      <c r="M13" s="67">
        <f>IFERROR(VLOOKUP(A13,'درآمد ناشی از تغییر قیمت اوراق '!$A$7:$Q$11,17,0),0)</f>
        <v>0</v>
      </c>
      <c r="N13" s="112"/>
      <c r="O13" s="67">
        <f>IFERROR(VLOOKUP(A13,'درآمد ناشی ازفروش'!$A$7:$Q$7,17,0),0)</f>
        <v>5638702098</v>
      </c>
      <c r="P13" s="112"/>
      <c r="Q13" s="67">
        <f t="shared" si="1"/>
        <v>6937450626</v>
      </c>
      <c r="R13" s="270"/>
      <c r="S13" s="270"/>
      <c r="T13" s="270"/>
    </row>
    <row r="14" spans="1:20" ht="27.75" customHeight="1">
      <c r="A14" s="112" t="s">
        <v>116</v>
      </c>
      <c r="B14" s="112"/>
      <c r="C14" s="67">
        <v>0</v>
      </c>
      <c r="D14" s="137"/>
      <c r="E14" s="67">
        <f>IFERROR(VLOOKUP(A14,'درآمد ناشی از تغییر قیمت اوراق '!$A$7:$Q$11,9,0),0)</f>
        <v>564612327</v>
      </c>
      <c r="F14" s="112"/>
      <c r="G14" s="67">
        <v>0</v>
      </c>
      <c r="H14" s="112"/>
      <c r="I14" s="67">
        <f t="shared" si="0"/>
        <v>564612327</v>
      </c>
      <c r="J14" s="138"/>
      <c r="K14" s="67">
        <v>0</v>
      </c>
      <c r="L14" s="137"/>
      <c r="M14" s="67">
        <f>IFERROR(VLOOKUP(A14,'درآمد ناشی از تغییر قیمت اوراق '!$A$7:$Q$11,17,0),0)</f>
        <v>1600484608</v>
      </c>
      <c r="N14" s="112"/>
      <c r="O14" s="67">
        <v>0</v>
      </c>
      <c r="P14" s="112"/>
      <c r="Q14" s="67">
        <f t="shared" si="1"/>
        <v>1600484608</v>
      </c>
      <c r="R14" s="270"/>
      <c r="S14" s="270"/>
      <c r="T14" s="270"/>
    </row>
    <row r="15" spans="1:20" ht="20.25" customHeight="1">
      <c r="A15" s="112" t="s">
        <v>193</v>
      </c>
      <c r="B15" s="112"/>
      <c r="C15" s="67">
        <f>IFERROR(VLOOKUP(A15,'سود اوراق بهادار'!$A$7:$Q$11,11,0),0)</f>
        <v>6195571024</v>
      </c>
      <c r="D15" s="137"/>
      <c r="E15" s="67">
        <f>IFERROR(VLOOKUP(A15,'درآمد ناشی از تغییر قیمت اوراق '!$A$7:$Q$11,9,0),0)</f>
        <v>1209060818</v>
      </c>
      <c r="F15" s="112"/>
      <c r="G15" s="67">
        <f>IFERROR(VLOOKUP(A15,'درآمد ناشی ازفروش'!$A$7:$Q$7,9,0),0)</f>
        <v>0</v>
      </c>
      <c r="H15" s="112"/>
      <c r="I15" s="67">
        <f t="shared" si="0"/>
        <v>7404631842</v>
      </c>
      <c r="J15" s="138"/>
      <c r="K15" s="67">
        <f>IFERROR(VLOOKUP(A15,'سود اوراق بهادار'!$A$7:$Q$11,17,0),0)</f>
        <v>10394104222</v>
      </c>
      <c r="L15" s="137"/>
      <c r="M15" s="67">
        <f>IFERROR(VLOOKUP(A15,'درآمد ناشی از تغییر قیمت اوراق '!$A$7:$Q$11,17,0),0)</f>
        <v>-3791559865</v>
      </c>
      <c r="N15" s="112"/>
      <c r="O15" s="67">
        <f>IFERROR(VLOOKUP(A15,'درآمد ناشی ازفروش'!$A$7:$Q$7,17,0),0)</f>
        <v>0</v>
      </c>
      <c r="P15" s="112"/>
      <c r="Q15" s="67">
        <f t="shared" si="1"/>
        <v>6602544357</v>
      </c>
      <c r="R15" s="270"/>
      <c r="S15" s="270"/>
      <c r="T15" s="270"/>
    </row>
    <row r="16" spans="1:20" ht="29.25" customHeight="1" thickBot="1">
      <c r="A16" s="271" t="s">
        <v>2</v>
      </c>
      <c r="B16" s="272"/>
      <c r="C16" s="212">
        <f>SUM(C10:C15)</f>
        <v>23220765310</v>
      </c>
      <c r="D16" s="213" t="e">
        <f>SUM(#REF!)</f>
        <v>#REF!</v>
      </c>
      <c r="E16" s="212">
        <f>SUM(E10:E15)</f>
        <v>1773673145</v>
      </c>
      <c r="F16" s="213" t="e">
        <f>SUM(#REF!)</f>
        <v>#REF!</v>
      </c>
      <c r="G16" s="212">
        <f>SUM(G10:G15)</f>
        <v>0</v>
      </c>
      <c r="H16" s="213" t="e">
        <f>SUM(#REF!)</f>
        <v>#REF!</v>
      </c>
      <c r="I16" s="212">
        <f>SUM(I10:I15)</f>
        <v>24994438455</v>
      </c>
      <c r="J16" s="213" t="e">
        <f>SUM(#REF!)</f>
        <v>#REF!</v>
      </c>
      <c r="K16" s="212">
        <f>SUM(K10:K15)</f>
        <v>45266006300</v>
      </c>
      <c r="L16" s="213" t="e">
        <f>SUM(#REF!)</f>
        <v>#REF!</v>
      </c>
      <c r="M16" s="212">
        <f>SUM(M10:M15)</f>
        <v>-2223975257</v>
      </c>
      <c r="N16" s="213" t="e">
        <f>SUM(#REF!)</f>
        <v>#REF!</v>
      </c>
      <c r="O16" s="212">
        <f>SUM(O10:O15)</f>
        <v>5638702098</v>
      </c>
      <c r="P16" s="213" t="e">
        <f>SUM(#REF!)</f>
        <v>#REF!</v>
      </c>
      <c r="Q16" s="212">
        <f>SUM(Q10:Q15)</f>
        <v>48680733141</v>
      </c>
    </row>
    <row r="17" spans="1:17" ht="17.649999999999999" thickTop="1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</row>
    <row r="19" spans="1:17"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</row>
    <row r="20" spans="1:17">
      <c r="C20" s="270"/>
      <c r="E20" s="270"/>
      <c r="G20" s="270"/>
      <c r="K20" s="270"/>
      <c r="M20" s="270"/>
      <c r="O20" s="270"/>
    </row>
    <row r="22" spans="1:17">
      <c r="C22" s="270"/>
      <c r="E22" s="270"/>
      <c r="G22" s="270"/>
      <c r="K22" s="270"/>
      <c r="M22" s="270"/>
      <c r="O22" s="270"/>
    </row>
    <row r="25" spans="1:17">
      <c r="C25" s="270"/>
      <c r="E25" s="270"/>
      <c r="G25" s="270"/>
    </row>
  </sheetData>
  <autoFilter ref="A9:Q9" xr:uid="{00000000-0009-0000-0000-00000B000000}"/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24</vt:i4>
      </vt:variant>
    </vt:vector>
  </HeadingPairs>
  <TitlesOfParts>
    <vt:vector size="42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سرمایه گذاری در سهام </vt:lpstr>
      <vt:lpstr>درآمد سرمایه گذاری در صندوق</vt:lpstr>
      <vt:lpstr>درآمد سرمایه گذاری در اوراق بها</vt:lpstr>
      <vt:lpstr>مبالغ تخصیصی اوراق </vt:lpstr>
      <vt:lpstr>درآمد سپرده بانکی</vt:lpstr>
      <vt:lpstr>سود اوراق بهادار</vt:lpstr>
      <vt:lpstr>سود سپرده بانکی</vt:lpstr>
      <vt:lpstr>مبالغ تخصیصی اورراق </vt:lpstr>
      <vt:lpstr>سایر درآمدها</vt:lpstr>
      <vt:lpstr>درآمد سود سهام</vt:lpstr>
      <vt:lpstr>درآمد ناشی ازفروش</vt:lpstr>
      <vt:lpstr>درآمد ناشی از تغییر قیمت اوراق </vt:lpstr>
      <vt:lpstr>'سود اوراق بهادار'!A</vt:lpstr>
      <vt:lpstr>A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سرمایه گذاری در صندوق'!Print_Area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'مبالغ تخصیصی اوراق '!Print_Area</vt:lpstr>
      <vt:lpstr>'مبالغ تخصیصی اورراق 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Fatemeh Naderloo</cp:lastModifiedBy>
  <cp:lastPrinted>2024-06-29T13:13:56Z</cp:lastPrinted>
  <dcterms:created xsi:type="dcterms:W3CDTF">2017-11-22T14:26:20Z</dcterms:created>
  <dcterms:modified xsi:type="dcterms:W3CDTF">2025-02-28T15:14:57Z</dcterms:modified>
</cp:coreProperties>
</file>