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Y:\fund\صندوق ندای ثابت کیان\گزارش ماهانه\1402\06\"/>
    </mc:Choice>
  </mc:AlternateContent>
  <xr:revisionPtr revIDLastSave="0" documentId="13_ncr:1_{FAA2F968-920C-4DB6-B3E8-728F31BCD1EC}" xr6:coauthVersionLast="47" xr6:coauthVersionMax="47" xr10:uidLastSave="{00000000-0000-0000-0000-000000000000}"/>
  <bookViews>
    <workbookView xWindow="-120" yWindow="-120" windowWidth="29040" windowHeight="15840" tabRatio="90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بانکی'!$A$6:$Q$91</definedName>
    <definedName name="_xlnm.Print_Area" localSheetId="1">' سهام'!$A$1:$W$12</definedName>
    <definedName name="_xlnm.Print_Area" localSheetId="2">اوراق!$A$1:$AG$15</definedName>
    <definedName name="_xlnm.Print_Area" localSheetId="3">'تعدیل اوراق'!$A$1:$M$11</definedName>
    <definedName name="_xlnm.Print_Area" localSheetId="12">'درآمد سپرده بانکی'!$A$1:$L$85</definedName>
    <definedName name="_xlnm.Print_Area" localSheetId="11">'درآمد سرمایه گذاری در اوراق بها'!$A$1:$Q$20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'!$A$1:$Q$16</definedName>
    <definedName name="_xlnm.Print_Area" localSheetId="8">'درآمد ناشی ازفروش'!$A$1:$Q$16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درآمدها'!$A$1:$E$11</definedName>
    <definedName name="_xlnm.Print_Area" localSheetId="4">سپرده!$A$1:$S$91</definedName>
    <definedName name="_xlnm.Print_Area" localSheetId="6">'سود اوراق بهادار و سپرده بانکی'!$A$1:$Q$92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M89" i="13"/>
  <c r="M59" i="13"/>
  <c r="M25" i="13"/>
  <c r="G89" i="13" l="1"/>
  <c r="K90" i="13"/>
  <c r="G25" i="13"/>
  <c r="O11" i="6"/>
  <c r="O14" i="6"/>
  <c r="O15" i="6"/>
  <c r="O17" i="6"/>
  <c r="O18" i="6"/>
  <c r="O10" i="6"/>
  <c r="M12" i="6"/>
  <c r="M13" i="6"/>
  <c r="M15" i="6"/>
  <c r="M16" i="6"/>
  <c r="M10" i="6"/>
  <c r="G11" i="6"/>
  <c r="G14" i="6"/>
  <c r="G15" i="6"/>
  <c r="G17" i="6"/>
  <c r="G18" i="6"/>
  <c r="G10" i="6"/>
  <c r="G19" i="6" s="1"/>
  <c r="E12" i="6"/>
  <c r="E13" i="6"/>
  <c r="E15" i="6"/>
  <c r="E16" i="6"/>
  <c r="E10" i="6"/>
  <c r="K12" i="6"/>
  <c r="K18" i="6"/>
  <c r="C13" i="6"/>
  <c r="C16" i="6"/>
  <c r="C17" i="6"/>
  <c r="K9" i="19"/>
  <c r="I9" i="19"/>
  <c r="P10" i="19"/>
  <c r="P11" i="19"/>
  <c r="O10" i="19"/>
  <c r="O11" i="19"/>
  <c r="N10" i="19"/>
  <c r="N11" i="19"/>
  <c r="N9" i="19"/>
  <c r="O9" i="19"/>
  <c r="P9" i="19" s="1"/>
  <c r="K11" i="19"/>
  <c r="K10" i="19"/>
  <c r="I12" i="15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K15" i="6" s="1"/>
  <c r="Q75" i="13"/>
  <c r="K16" i="6" s="1"/>
  <c r="Q76" i="13"/>
  <c r="K14" i="6" s="1"/>
  <c r="Q77" i="13"/>
  <c r="K10" i="6" s="1"/>
  <c r="Q78" i="13"/>
  <c r="K13" i="6" s="1"/>
  <c r="Q79" i="13"/>
  <c r="K17" i="6" s="1"/>
  <c r="Q17" i="6" s="1"/>
  <c r="Q80" i="13"/>
  <c r="Q81" i="13"/>
  <c r="Q82" i="13"/>
  <c r="Q83" i="13"/>
  <c r="Q84" i="13"/>
  <c r="Q85" i="13"/>
  <c r="Q86" i="13"/>
  <c r="Q87" i="13"/>
  <c r="Q88" i="13"/>
  <c r="Q89" i="13"/>
  <c r="Q91" i="13"/>
  <c r="Q7" i="13"/>
  <c r="K7" i="13"/>
  <c r="K8" i="13"/>
  <c r="C18" i="6" s="1"/>
  <c r="K9" i="13"/>
  <c r="C12" i="6" s="1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C15" i="6" s="1"/>
  <c r="K75" i="13"/>
  <c r="K76" i="13"/>
  <c r="C14" i="6" s="1"/>
  <c r="K77" i="13"/>
  <c r="C10" i="6" s="1"/>
  <c r="K78" i="13"/>
  <c r="K79" i="13"/>
  <c r="K80" i="13"/>
  <c r="K81" i="13"/>
  <c r="K82" i="13"/>
  <c r="K83" i="13"/>
  <c r="K84" i="13"/>
  <c r="K85" i="13"/>
  <c r="K86" i="13"/>
  <c r="K87" i="13"/>
  <c r="K88" i="13"/>
  <c r="K89" i="13"/>
  <c r="K91" i="13"/>
  <c r="E10" i="8"/>
  <c r="C10" i="8"/>
  <c r="Q12" i="14"/>
  <c r="M12" i="14"/>
  <c r="K12" i="14"/>
  <c r="I12" i="14"/>
  <c r="E12" i="14"/>
  <c r="C12" i="14"/>
  <c r="Q13" i="15"/>
  <c r="M13" i="15"/>
  <c r="K13" i="15"/>
  <c r="I13" i="15"/>
  <c r="G13" i="15"/>
  <c r="E13" i="15"/>
  <c r="C13" i="15"/>
  <c r="O92" i="13"/>
  <c r="M92" i="13"/>
  <c r="I92" i="13"/>
  <c r="G92" i="13"/>
  <c r="I7" i="11"/>
  <c r="Q89" i="2"/>
  <c r="O89" i="2"/>
  <c r="M89" i="2"/>
  <c r="K8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9" i="2"/>
  <c r="AG10" i="17"/>
  <c r="AG14" i="17" s="1"/>
  <c r="AG11" i="17"/>
  <c r="AG12" i="17"/>
  <c r="AG13" i="17"/>
  <c r="AG9" i="17"/>
  <c r="AE14" i="17"/>
  <c r="AC14" i="17"/>
  <c r="Y14" i="17"/>
  <c r="W14" i="17"/>
  <c r="T14" i="17"/>
  <c r="S14" i="17"/>
  <c r="Q14" i="17"/>
  <c r="O14" i="17"/>
  <c r="Q10" i="6" l="1"/>
  <c r="I10" i="6"/>
  <c r="V14" i="17"/>
  <c r="M14" i="17"/>
  <c r="O8" i="14" l="1"/>
  <c r="O9" i="14"/>
  <c r="O10" i="14"/>
  <c r="O11" i="14"/>
  <c r="G11" i="14"/>
  <c r="G10" i="14"/>
  <c r="G9" i="14"/>
  <c r="G8" i="14"/>
  <c r="G7" i="14"/>
  <c r="O11" i="15"/>
  <c r="O10" i="15"/>
  <c r="I10" i="15"/>
  <c r="I9" i="15"/>
  <c r="I8" i="15"/>
  <c r="I7" i="15"/>
  <c r="G12" i="14" l="1"/>
  <c r="K19" i="6"/>
  <c r="C19" i="6"/>
  <c r="I11" i="6"/>
  <c r="I74" i="7"/>
  <c r="I75" i="7"/>
  <c r="I76" i="7"/>
  <c r="I77" i="7"/>
  <c r="I78" i="7"/>
  <c r="I79" i="7"/>
  <c r="I80" i="7"/>
  <c r="I81" i="7"/>
  <c r="I82" i="7"/>
  <c r="I83" i="7"/>
  <c r="E74" i="7"/>
  <c r="E75" i="7"/>
  <c r="E76" i="7"/>
  <c r="E77" i="7"/>
  <c r="E78" i="7"/>
  <c r="E79" i="7"/>
  <c r="E80" i="7"/>
  <c r="E81" i="7"/>
  <c r="E82" i="7"/>
  <c r="E83" i="7"/>
  <c r="E8" i="7"/>
  <c r="I18" i="6"/>
  <c r="E9" i="7"/>
  <c r="E10" i="7"/>
  <c r="E11" i="7"/>
  <c r="E12" i="7"/>
  <c r="E13" i="7"/>
  <c r="E14" i="7"/>
  <c r="E15" i="7"/>
  <c r="E16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I15" i="6"/>
  <c r="I16" i="6"/>
  <c r="I14" i="6"/>
  <c r="I13" i="6"/>
  <c r="I17" i="6"/>
  <c r="E73" i="7"/>
  <c r="Q13" i="6"/>
  <c r="I73" i="7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I12" i="6" l="1"/>
  <c r="K92" i="13"/>
  <c r="E84" i="7"/>
  <c r="O8" i="15"/>
  <c r="I10" i="19"/>
  <c r="I11" i="19"/>
  <c r="E10" i="11"/>
  <c r="I10" i="11" s="1"/>
  <c r="Q18" i="6"/>
  <c r="Q12" i="6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Q16" i="6"/>
  <c r="Q14" i="6"/>
  <c r="I8" i="7"/>
  <c r="O7" i="14"/>
  <c r="O12" i="14" s="1"/>
  <c r="O12" i="15"/>
  <c r="L47" i="13"/>
  <c r="Q12" i="2"/>
  <c r="Q13" i="2"/>
  <c r="Q14" i="2"/>
  <c r="Q15" i="2"/>
  <c r="Q16" i="2"/>
  <c r="Q17" i="2"/>
  <c r="Q18" i="2"/>
  <c r="Q19" i="2"/>
  <c r="Q20" i="2"/>
  <c r="Q10" i="2"/>
  <c r="Q11" i="2"/>
  <c r="Q9" i="2"/>
  <c r="G13" i="7" l="1"/>
  <c r="G15" i="7"/>
  <c r="G28" i="7"/>
  <c r="G22" i="7"/>
  <c r="G47" i="7"/>
  <c r="G27" i="7"/>
  <c r="G40" i="7"/>
  <c r="G79" i="7"/>
  <c r="G33" i="7"/>
  <c r="G64" i="7"/>
  <c r="G55" i="7"/>
  <c r="G51" i="7"/>
  <c r="G11" i="7"/>
  <c r="G76" i="7"/>
  <c r="G41" i="7"/>
  <c r="G21" i="7"/>
  <c r="G82" i="7"/>
  <c r="G83" i="7"/>
  <c r="G36" i="7"/>
  <c r="Q92" i="13"/>
  <c r="Q15" i="6"/>
  <c r="G75" i="7"/>
  <c r="G69" i="7"/>
  <c r="G58" i="7"/>
  <c r="G8" i="7"/>
  <c r="G9" i="7"/>
  <c r="G45" i="7"/>
  <c r="G16" i="7"/>
  <c r="G52" i="7"/>
  <c r="G77" i="7"/>
  <c r="G35" i="7"/>
  <c r="G78" i="7"/>
  <c r="G30" i="7"/>
  <c r="G72" i="7"/>
  <c r="G49" i="7"/>
  <c r="G44" i="7"/>
  <c r="G56" i="7"/>
  <c r="G48" i="7"/>
  <c r="G19" i="7"/>
  <c r="G61" i="7"/>
  <c r="G20" i="7"/>
  <c r="G62" i="7"/>
  <c r="G34" i="7"/>
  <c r="G70" i="7"/>
  <c r="G17" i="7"/>
  <c r="G53" i="7"/>
  <c r="G12" i="7"/>
  <c r="G54" i="7"/>
  <c r="G25" i="7"/>
  <c r="G67" i="7"/>
  <c r="G26" i="7"/>
  <c r="G68" i="7"/>
  <c r="E19" i="6"/>
  <c r="G23" i="7"/>
  <c r="G59" i="7"/>
  <c r="G18" i="7"/>
  <c r="G60" i="7"/>
  <c r="G31" i="7"/>
  <c r="G74" i="7"/>
  <c r="G32" i="7"/>
  <c r="G57" i="7"/>
  <c r="G81" i="7"/>
  <c r="G39" i="7"/>
  <c r="G10" i="7"/>
  <c r="G46" i="7"/>
  <c r="G71" i="7"/>
  <c r="G29" i="7"/>
  <c r="G65" i="7"/>
  <c r="G24" i="7"/>
  <c r="G66" i="7"/>
  <c r="G43" i="7"/>
  <c r="G80" i="7"/>
  <c r="G38" i="7"/>
  <c r="G63" i="7"/>
  <c r="G42" i="7"/>
  <c r="G37" i="7"/>
  <c r="G73" i="7"/>
  <c r="G14" i="7"/>
  <c r="G50" i="7"/>
  <c r="I84" i="7"/>
  <c r="S89" i="2"/>
  <c r="K42" i="7" l="1"/>
  <c r="M19" i="6"/>
  <c r="G84" i="7"/>
  <c r="K20" i="7"/>
  <c r="K37" i="7"/>
  <c r="K56" i="7"/>
  <c r="K21" i="7"/>
  <c r="K57" i="7"/>
  <c r="K28" i="7"/>
  <c r="K64" i="7"/>
  <c r="K47" i="7"/>
  <c r="K18" i="7"/>
  <c r="K60" i="7"/>
  <c r="K27" i="7"/>
  <c r="K13" i="7"/>
  <c r="K32" i="7"/>
  <c r="K33" i="7"/>
  <c r="K40" i="7"/>
  <c r="K59" i="7"/>
  <c r="K30" i="7"/>
  <c r="K19" i="7"/>
  <c r="K38" i="7"/>
  <c r="K39" i="7"/>
  <c r="K29" i="7"/>
  <c r="K67" i="7"/>
  <c r="K25" i="7"/>
  <c r="K44" i="7"/>
  <c r="K31" i="7"/>
  <c r="K14" i="7"/>
  <c r="K50" i="7"/>
  <c r="K15" i="7"/>
  <c r="K51" i="7"/>
  <c r="K22" i="7"/>
  <c r="K58" i="7"/>
  <c r="K41" i="7"/>
  <c r="K8" i="7"/>
  <c r="K54" i="7"/>
  <c r="K43" i="7"/>
  <c r="K26" i="7"/>
  <c r="K62" i="7"/>
  <c r="K63" i="7"/>
  <c r="K34" i="7"/>
  <c r="K17" i="7"/>
  <c r="K53" i="7"/>
  <c r="K24" i="7"/>
  <c r="K66" i="7"/>
  <c r="K49" i="7"/>
  <c r="K68" i="7"/>
  <c r="K70" i="7"/>
  <c r="K23" i="7"/>
  <c r="K72" i="7"/>
  <c r="K55" i="7"/>
  <c r="K69" i="7"/>
  <c r="K10" i="7"/>
  <c r="K46" i="7"/>
  <c r="K65" i="7"/>
  <c r="K36" i="7"/>
  <c r="K61" i="7"/>
  <c r="K9" i="7"/>
  <c r="K45" i="7"/>
  <c r="K16" i="7"/>
  <c r="K52" i="7"/>
  <c r="K35" i="7"/>
  <c r="K71" i="7"/>
  <c r="K11" i="7"/>
  <c r="K73" i="7"/>
  <c r="K82" i="7"/>
  <c r="K76" i="7"/>
  <c r="K78" i="7"/>
  <c r="K83" i="7"/>
  <c r="K81" i="7"/>
  <c r="K80" i="7"/>
  <c r="K77" i="7"/>
  <c r="K75" i="7"/>
  <c r="K74" i="7"/>
  <c r="K79" i="7"/>
  <c r="K12" i="7"/>
  <c r="K48" i="7"/>
  <c r="I19" i="6"/>
  <c r="K84" i="7" l="1"/>
  <c r="Q11" i="6" l="1"/>
  <c r="Q19" i="6" s="1"/>
  <c r="O19" i="6"/>
  <c r="O9" i="15"/>
  <c r="O7" i="15" l="1"/>
  <c r="O13" i="15" s="1"/>
  <c r="C12" i="5" l="1"/>
  <c r="I11" i="5"/>
  <c r="I12" i="5" s="1"/>
  <c r="S11" i="5"/>
  <c r="S12" i="5" s="1"/>
  <c r="E12" i="5"/>
  <c r="M12" i="5"/>
  <c r="O12" i="5"/>
  <c r="E9" i="11" l="1"/>
  <c r="I9" i="11" s="1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E7" i="11" l="1"/>
  <c r="U12" i="5" l="1"/>
  <c r="K12" i="5" l="1"/>
  <c r="P92" i="13" l="1"/>
  <c r="J9" i="18"/>
  <c r="L9" i="18"/>
  <c r="N9" i="18"/>
  <c r="R9" i="18"/>
  <c r="D19" i="6" l="1"/>
  <c r="F19" i="6"/>
  <c r="H19" i="6"/>
  <c r="J19" i="6"/>
  <c r="L19" i="6"/>
  <c r="N19" i="6"/>
  <c r="P19" i="6"/>
  <c r="A3" i="14" l="1"/>
  <c r="A3" i="8" l="1"/>
  <c r="A3" i="7"/>
  <c r="A3" i="6"/>
  <c r="A3" i="5"/>
  <c r="A3" i="15"/>
  <c r="A3" i="13"/>
  <c r="A3" i="2" l="1"/>
  <c r="A3" i="11" s="1"/>
  <c r="E8" i="11" l="1"/>
  <c r="E11" i="11" l="1"/>
  <c r="G8" i="11" s="1"/>
  <c r="I8" i="11"/>
  <c r="I11" i="11" s="1"/>
  <c r="I11" i="15"/>
  <c r="G9" i="11" l="1"/>
  <c r="G10" i="11"/>
  <c r="G7" i="11"/>
  <c r="G11" i="11" l="1"/>
  <c r="E7" i="13"/>
  <c r="E7" i="13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<sst xmlns="http://schemas.openxmlformats.org/spreadsheetml/2006/main" count="953" uniqueCount="305">
  <si>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</si>
  <si>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</si>
  <si>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</si>
  <si>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</si>
  <si>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</si>
  <si>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</si>
  <si>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</si>
  <si>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</si>
  <si>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</si>
  <si>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</si>
  <si>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</si>
  <si>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</si>
  <si>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</si>
  <si>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</si>
  <si>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</si>
  <si>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</si>
  <si>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</si>
  <si>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</si>
  <si>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</si>
  <si>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</si>
  <si>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</si>
  <si>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</si>
  <si>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</si>
  <si>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</si>
  <si>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</si>
  <si>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</si>
  <si>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</si>
  <si>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</si>
  <si>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</si>
  <si>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</si>
  <si>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</si>
  <si>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</si>
  <si>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</si>
  <si>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</si>
  <si>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</si>
  <si>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</si>
  <si>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</si>
  <si>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</si>
  <si>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</si>
  <si>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</si>
  <si>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</si>
  <si>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</si>
  <si>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</si>
  <si>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</si>
  <si>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</si>
  <si>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</si>
  <si>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</si>
  <si>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</si>
  <si>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</si>
  <si>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</si>
  <si>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</si>
  <si>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</si>
  <si>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</si>
  <si>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</si>
  <si>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</si>
  <si>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</si>
  <si>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</si>
  <si>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</si>
  <si>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</si>
  <si>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</si>
  <si>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</si>
  <si>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</si>
  <si>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</si>
  <si>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</si>
  <si>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</si>
  <si>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</si>
  <si>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</si>
  <si>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</si>
  <si>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</si>
  <si>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</si>
  <si>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</si>
  <si>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</si>
  <si>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</si>
  <si>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</si>
  <si>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</si>
  <si>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</si>
  <si>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</si>
  <si>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</si>
  <si>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</si>
  <si>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</si>
  <si>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</si>
  <si>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</si>
  <si>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</si>
  <si>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</si>
  <si>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</si>
  <si>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</si>
  <si>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</si>
  <si>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</si>
  <si>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</si>
  <si>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</si>
  <si>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کوتاه مدت</t>
  </si>
  <si>
    <t>-</t>
  </si>
  <si>
    <t>---</t>
  </si>
  <si>
    <t>بلی</t>
  </si>
  <si>
    <t>209-8100-15227268-1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</si>
  <si>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</si>
  <si>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</si>
  <si>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</si>
  <si>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</si>
  <si>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</si>
  <si>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</si>
  <si>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</si>
  <si>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</si>
  <si>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اجاره غدیر ایرانیان 14050114 (غدیر05)</t>
  </si>
  <si>
    <t>1401/01/14</t>
  </si>
  <si>
    <t>1405/01/14</t>
  </si>
  <si>
    <t>سپرده سرمایه‌گذاری</t>
  </si>
  <si>
    <t>864-810-3998429-1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</si>
  <si>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</si>
  <si>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0228580617005</t>
  </si>
  <si>
    <t>دارایی</t>
  </si>
  <si>
    <t>اجاره تابان فردا سپهر14050803 (تابان08)</t>
  </si>
  <si>
    <t>1405/08/03</t>
  </si>
  <si>
    <t>اقتصادنوین 124.283.6867480.8</t>
  </si>
  <si>
    <t>پاسارگاد20990121522726819</t>
  </si>
  <si>
    <t>124-850-6867480-1</t>
  </si>
  <si>
    <t>124-283-6867480-8</t>
  </si>
  <si>
    <t>209-9012-15227268-19</t>
  </si>
  <si>
    <t>مرابحه عام دولت86-ش.خ020404 (اراد86)</t>
  </si>
  <si>
    <t>صکوک اجاره کگل509-بدون ضامن (صگل509)</t>
  </si>
  <si>
    <t>1402/04/04</t>
  </si>
  <si>
    <t>1401/09/02</t>
  </si>
  <si>
    <t>1405/09/02</t>
  </si>
  <si>
    <t>صکوک اجاره کگل509-بدون ضامن</t>
  </si>
  <si>
    <t>پاسارگاد209.9012.15227268.20</t>
  </si>
  <si>
    <t>پاسارگاد209.9012.15227268.21</t>
  </si>
  <si>
    <t>پاسارگاد209.9012.15227268.22</t>
  </si>
  <si>
    <t>209-9012-15227268-20</t>
  </si>
  <si>
    <t>209-9012-15227268-21</t>
  </si>
  <si>
    <t>209-9012-15227268-22</t>
  </si>
  <si>
    <t>اقتصادنوین 124.283.6867480.9</t>
  </si>
  <si>
    <t>اقتصادنوین 124.283.6867480.10</t>
  </si>
  <si>
    <t>اقتصادنوین 124.283.6867480.11</t>
  </si>
  <si>
    <t>اقتصادنوین 124.283.6867480.12</t>
  </si>
  <si>
    <t>اقتصادنوین 124.283.6867480.13</t>
  </si>
  <si>
    <t>اقتصادنوین 124.283.6867480.14</t>
  </si>
  <si>
    <t>اقتصادنوین 124.283.6867480.15</t>
  </si>
  <si>
    <t>اقتصادنوین 124.283.6867480.16</t>
  </si>
  <si>
    <t>اقتصادنوین 124.283.6867480.17</t>
  </si>
  <si>
    <t>اقتصادنوین 124.283.6867480.18</t>
  </si>
  <si>
    <t>124-283-6867480-9</t>
  </si>
  <si>
    <t>124-283-6867480-10</t>
  </si>
  <si>
    <t>124-283-6867480-11</t>
  </si>
  <si>
    <t>124-283-6867480-12</t>
  </si>
  <si>
    <t>124-283-6867480-13</t>
  </si>
  <si>
    <t>124-283-6867480-14</t>
  </si>
  <si>
    <t>124-283-6867480-15</t>
  </si>
  <si>
    <t>124-283-6867480-16</t>
  </si>
  <si>
    <t>124-283-6867480-17</t>
  </si>
  <si>
    <t>124-283-6867480-18</t>
  </si>
  <si>
    <t>اسنادخزانه-م9بودجه99-020316 (اخزا909)</t>
  </si>
  <si>
    <t>مرابحه عام دولت120-ش.خ040417 (اراد120)</t>
  </si>
  <si>
    <t>1404/04/17</t>
  </si>
  <si>
    <t>پاسارگاد209.303.15227268.1</t>
  </si>
  <si>
    <t>پاسارگاد 209.303.15227268.2</t>
  </si>
  <si>
    <t>پاسارگاد 209.420.15227268.1</t>
  </si>
  <si>
    <t xml:space="preserve">پاسارگاد 209.420.15227268.2	</t>
  </si>
  <si>
    <t>پاسارگاد209.420.15227268.3</t>
  </si>
  <si>
    <t>پاسارگاد209.420.15227268.4</t>
  </si>
  <si>
    <t>پاسارگاد 209.420.15227268.5</t>
  </si>
  <si>
    <t>پاسارگاد209.9012.15227268.23</t>
  </si>
  <si>
    <t>پاسارگاد209.9012.15227268.24</t>
  </si>
  <si>
    <t>پاسارگاد209.9012.15227268.25</t>
  </si>
  <si>
    <t>پاسارگاد209.9012.15227268.26</t>
  </si>
  <si>
    <t>209-303-15227268-2</t>
  </si>
  <si>
    <t>209-9012-15227268-23</t>
  </si>
  <si>
    <t>209-9012-15227268-24</t>
  </si>
  <si>
    <t>209-9012-15227268-25</t>
  </si>
  <si>
    <t>209-9012-15227268-26</t>
  </si>
  <si>
    <t>209-9012-15227268-27</t>
  </si>
  <si>
    <t>0217918818004</t>
  </si>
  <si>
    <t>پاسارگاد 209.307.15227268.1</t>
  </si>
  <si>
    <t>پاسارگاد 209.307.15227268.2</t>
  </si>
  <si>
    <t>پاسارگاد 209.307.15227268.3</t>
  </si>
  <si>
    <t>124-283-6867480-20</t>
  </si>
  <si>
    <t>371-4-5277300-1</t>
  </si>
  <si>
    <t>جاری</t>
  </si>
  <si>
    <t>پاسارگاد 209.307.15227268.4</t>
  </si>
  <si>
    <t>اقتصاد نوین 124.283.6867480.24</t>
  </si>
  <si>
    <t>124-283-6867480-22</t>
  </si>
  <si>
    <t>124-283-6867480-23</t>
  </si>
  <si>
    <t>124-283-6867480-24</t>
  </si>
  <si>
    <t>اقتصاد نوین 124.283.6867480.25</t>
  </si>
  <si>
    <t>124-283-6867480-25</t>
  </si>
  <si>
    <t>مسکن 5600931333928</t>
  </si>
  <si>
    <t>مسکن کوتاه مدت	-310058720239</t>
  </si>
  <si>
    <t>مسکن کوتاه مدت-4110001907768</t>
  </si>
  <si>
    <t>پاسارگاد 209.307.15227268.5</t>
  </si>
  <si>
    <t>پاسارگاد 209.307.15227268.7</t>
  </si>
  <si>
    <t>مرابحه عام دولت4-ش.خ 0206 (اراد49)</t>
  </si>
  <si>
    <t>1399/06/12</t>
  </si>
  <si>
    <t>1402/06/12</t>
  </si>
  <si>
    <t>پاسارگاد 209.307.15227268.8</t>
  </si>
  <si>
    <t>پاسارگاد 209.307.15227268.9</t>
  </si>
  <si>
    <t>مسکن 5600931333993</t>
  </si>
  <si>
    <t>مسکن 5600931333969</t>
  </si>
  <si>
    <t>124-283-6867480-26</t>
  </si>
  <si>
    <t>124-283-6867480-27</t>
  </si>
  <si>
    <t>اقتصاد نوین 124.283.6867480.26</t>
  </si>
  <si>
    <t>اقتصاد نوین 124.283.6867480.27</t>
  </si>
  <si>
    <t>5600931333928</t>
  </si>
  <si>
    <t>5600931333969</t>
  </si>
  <si>
    <t>5600931333993</t>
  </si>
  <si>
    <t>310058720239</t>
  </si>
  <si>
    <t>4110001907768</t>
  </si>
  <si>
    <t>1402/05/31</t>
  </si>
  <si>
    <t>پاسارگاد 209.307.15227268.10</t>
  </si>
  <si>
    <t>پاسارگاد 209.306.15227268.1</t>
  </si>
  <si>
    <t>209-307-15227268-4</t>
  </si>
  <si>
    <t>209-307-15227268-5</t>
  </si>
  <si>
    <t>209-307-15227268-8</t>
  </si>
  <si>
    <t>209-307-15227268-9</t>
  </si>
  <si>
    <t>209-307-15227268-10</t>
  </si>
  <si>
    <t>209-306-15227268-1</t>
  </si>
  <si>
    <t xml:space="preserve">پاسارگاد کوتاه مدت-2098100152272681	</t>
  </si>
  <si>
    <t>اقتصاد نوین 124.283.6867480.28</t>
  </si>
  <si>
    <t>اقتصاد نوین 124.283.6867480.29</t>
  </si>
  <si>
    <t>اقتصاد نوین 124.283.6867480.30</t>
  </si>
  <si>
    <t>124-283-6867480-29</t>
  </si>
  <si>
    <t>124-283-6867480-30</t>
  </si>
  <si>
    <t xml:space="preserve">اقتصاد نوین کوتاه مدت-12485068674801	</t>
  </si>
  <si>
    <t>مسکن 5600931334017</t>
  </si>
  <si>
    <t>مسکن 5600929334318</t>
  </si>
  <si>
    <t>مسکن 5600931334025</t>
  </si>
  <si>
    <t>مسکن 5600931334041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</si>
  <si>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</si>
  <si>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</si>
  <si>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</si>
  <si>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</si>
  <si>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اقتصادنوین 124.283.6867480.4</t>
  </si>
  <si>
    <t>اقتصادنوین 124.283.6867480.5</t>
  </si>
  <si>
    <t>اقتصادنوین 124.283.6867480.6</t>
  </si>
  <si>
    <t>اقتصادنوین 124.283.6867480.7</t>
  </si>
  <si>
    <t>124-283-6867480-3</t>
  </si>
  <si>
    <t>124-283-6867480-4</t>
  </si>
  <si>
    <t>124-283-6867480-5</t>
  </si>
  <si>
    <t>124-283-6867480-6</t>
  </si>
  <si>
    <t>124-283-6867480-7</t>
  </si>
  <si>
    <t>منتهی به 1402/06/31</t>
  </si>
  <si>
    <t>برای ماه منتهی به 1402/06/31</t>
  </si>
  <si>
    <t>1402/06/31</t>
  </si>
  <si>
    <t>طی شهریور ماه</t>
  </si>
  <si>
    <t>از ابتدای سال مالی تا پایان شهریور ماه</t>
  </si>
  <si>
    <t>از ابتدای سال مالی تا شهریور ماه</t>
  </si>
  <si>
    <t>مرابحه عام دولت69-ش.خ0310 (اراد69)</t>
  </si>
  <si>
    <t>مرابحه الکترومادیرا-کیان060626 (الکترومادیران062)</t>
  </si>
  <si>
    <t>1399/10/21</t>
  </si>
  <si>
    <t>1402/06/26</t>
  </si>
  <si>
    <t>1403/10/21</t>
  </si>
  <si>
    <t>1406/06/26</t>
  </si>
  <si>
    <t>925,630</t>
  </si>
  <si>
    <t>1,063,285</t>
  </si>
  <si>
    <t>1,036,381</t>
  </si>
  <si>
    <t>999,960</t>
  </si>
  <si>
    <t>اجاره غدیر ایرانیان 14050114</t>
  </si>
  <si>
    <t>مرابحه عام دولت69-ش.خ0310</t>
  </si>
  <si>
    <t>اقتصاد نوین 124.283.6867480.20</t>
  </si>
  <si>
    <t>اقتصاد نوین 12428368674803</t>
  </si>
  <si>
    <t>اقتصادنوین124.283.6867480.19</t>
  </si>
  <si>
    <t>اقتصاد نوین 124.283.6867480.22</t>
  </si>
  <si>
    <t>اقتصاد نوین 12428368674802</t>
  </si>
  <si>
    <t>پاسارگاد 209.9012.15227268.27</t>
  </si>
  <si>
    <t>اقتصاد نوین 12428368674801</t>
  </si>
  <si>
    <t>سینا جاری-371452773001</t>
  </si>
  <si>
    <t>مسکن 5600929333815</t>
  </si>
  <si>
    <t>اقتصاد نوین 124.283.6867480.23</t>
  </si>
  <si>
    <t>مسکن 5600931334082</t>
  </si>
  <si>
    <t>رفاه363648562</t>
  </si>
  <si>
    <t>رفاه کوتاه مدت 359490219</t>
  </si>
  <si>
    <t>مسکن 5600931334074</t>
  </si>
  <si>
    <t>اقتصاد نوین 32-6867480-283-124</t>
  </si>
  <si>
    <t>پاسارگاد 209.307.15227268.12</t>
  </si>
  <si>
    <t>پاسارگاد 209.307.15227268.11</t>
  </si>
  <si>
    <t>اقتصاد نوین- 31-6867480-283-124</t>
  </si>
  <si>
    <t>1005/10/810/707074272</t>
  </si>
  <si>
    <t>124-283-6867480-31</t>
  </si>
  <si>
    <t>124.283.6867480.28</t>
  </si>
  <si>
    <t>12428368674801</t>
  </si>
  <si>
    <t>12428368674802</t>
  </si>
  <si>
    <t>124-283-6867480-32</t>
  </si>
  <si>
    <t>124.283.6867480.19</t>
  </si>
  <si>
    <t>209-307-15227268-1</t>
  </si>
  <si>
    <t>209-307-15227268-11</t>
  </si>
  <si>
    <t>209-307-15227268-12</t>
  </si>
  <si>
    <t>209-307-15227268-2</t>
  </si>
  <si>
    <t>209-307-15227268-3</t>
  </si>
  <si>
    <t>209.307.15227268.7</t>
  </si>
  <si>
    <t>209-420-15227268-1</t>
  </si>
  <si>
    <t>209-420-15227268-2</t>
  </si>
  <si>
    <t>209.420.15227268.5</t>
  </si>
  <si>
    <t>209.303.15227268.1</t>
  </si>
  <si>
    <t>209.420.15227268.3</t>
  </si>
  <si>
    <t>209.420.15227268.4</t>
  </si>
  <si>
    <t>359490219</t>
  </si>
  <si>
    <t>363648562</t>
  </si>
  <si>
    <t>5600929333815</t>
  </si>
  <si>
    <t>5600929334318</t>
  </si>
  <si>
    <t>5600931334017</t>
  </si>
  <si>
    <t>5600931334025</t>
  </si>
  <si>
    <t>5600931334041</t>
  </si>
  <si>
    <t>5600931334074</t>
  </si>
  <si>
    <t>5600931334082</t>
  </si>
  <si>
    <t>درآمد حاصل از سرمایه­گذاری در سهام و حق تقدم سهام و صندوق‌های سرمایه‌گذاری</t>
  </si>
  <si>
    <t>تعدیل کارمزد کارگزاری</t>
  </si>
  <si>
    <t>با توجه به قرارداد خرید و تعهد به بازخرید اوراق مدکور بین صندوق و بازارگردان، تفاوت قیمت بازخرید و قیمت تمام شده آن را به صورت روزانه تحت عنوان قیمت کارشناسی تا تاریخ سررسید قرارداد لحاظ شده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</si>
</sst>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_(* #,##0.0_);_(* \(#,##0.0\);_(* &quot;-&quot;??_);_(@_)"/>
    <numFmt numFmtId="170" formatCode="0.0%"/>
    <numFmt numFmtId="171" formatCode="_(* #,##0.00000000_);_(* \(#,##0.00000000\);_(* &quot;-&quot;??_);_(@_)"/>
  </numFmts>
  <fonts count="6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6"/>
      <name val="B Mitra"/>
      <charset val="178"/>
    </font>
    <font>
      <sz val="11"/>
      <color rgb="FFFF0000"/>
      <name val="B Nazanin"/>
      <charset val="178"/>
    </font>
    <font>
      <b/>
      <sz val="9"/>
      <color rgb="FF2E2E2E"/>
      <name val="IranSansFaNum"/>
    </font>
    <font>
      <b/>
      <sz val="9"/>
      <color rgb="FF00A651"/>
      <name val="IranSansFaNum"/>
    </font>
  </fonts>
  <fills count="3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402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38" fontId="18" fillId="0" borderId="10" xfId="0" applyNumberFormat="1" applyFont="1" applyBorder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164" fontId="14" fillId="0" borderId="0" xfId="1" applyNumberFormat="1" applyFont="1" applyAlignment="1"/>
    <xf numFmtId="38" fontId="21" fillId="0" borderId="14" xfId="1" applyNumberFormat="1" applyFont="1" applyFill="1" applyBorder="1" applyAlignment="1">
      <alignment horizontal="right" vertical="center" readingOrder="2"/>
    </xf>
    <xf numFmtId="164" fontId="6" fillId="0" borderId="0" xfId="1" applyNumberFormat="1" applyFont="1" applyAlignment="1">
      <alignment vertical="center" wrapText="1"/>
    </xf>
    <xf numFmtId="164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14" fillId="2" borderId="0" xfId="1" applyNumberFormat="1" applyFont="1" applyFill="1" applyAlignment="1"/>
    <xf numFmtId="164" fontId="6" fillId="0" borderId="0" xfId="1" applyNumberFormat="1" applyFont="1" applyFill="1" applyAlignment="1">
      <alignment horizontal="center" vertical="center"/>
    </xf>
    <xf numFmtId="164" fontId="20" fillId="0" borderId="1" xfId="1" applyNumberFormat="1" applyFont="1" applyFill="1" applyBorder="1"/>
    <xf numFmtId="164" fontId="18" fillId="0" borderId="1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4" fontId="20" fillId="0" borderId="0" xfId="1" applyNumberFormat="1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/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4" fontId="22" fillId="0" borderId="0" xfId="1" applyNumberFormat="1" applyFont="1" applyFill="1" applyBorder="1" applyAlignment="1">
      <alignment horizontal="left"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50" fillId="0" borderId="0" xfId="1" applyNumberFormat="1" applyFont="1" applyFill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64" fontId="53" fillId="0" borderId="0" xfId="0" applyNumberFormat="1" applyFont="1" applyAlignment="1">
      <alignment vertical="center" wrapText="1" shrinkToFi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4" fontId="54" fillId="0" borderId="0" xfId="1" applyNumberFormat="1" applyFont="1" applyAlignment="1"/>
    <xf numFmtId="3" fontId="14" fillId="0" borderId="0" xfId="0" applyNumberFormat="1" applyFont="1"/>
    <xf numFmtId="3" fontId="55" fillId="0" borderId="0" xfId="0" applyNumberFormat="1" applyFont="1"/>
    <xf numFmtId="3" fontId="36" fillId="0" borderId="0" xfId="0" applyNumberFormat="1" applyFont="1"/>
    <xf numFmtId="9" fontId="10" fillId="0" borderId="0" xfId="2" applyFont="1" applyFill="1" applyAlignment="1">
      <alignment horizontal="center" vertical="center"/>
    </xf>
    <xf numFmtId="164" fontId="18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right" vertical="center" readingOrder="2"/>
    </xf>
    <xf numFmtId="38" fontId="14" fillId="0" borderId="0" xfId="0" applyNumberFormat="1" applyFont="1"/>
    <xf numFmtId="164" fontId="56" fillId="0" borderId="0" xfId="1" applyNumberFormat="1" applyFont="1" applyFill="1" applyAlignment="1">
      <alignment vertical="center"/>
    </xf>
    <xf numFmtId="1" fontId="18" fillId="0" borderId="2" xfId="0" applyNumberFormat="1" applyFont="1" applyBorder="1" applyAlignment="1">
      <alignment horizontal="center" vertical="center" readingOrder="2"/>
    </xf>
    <xf numFmtId="43" fontId="18" fillId="0" borderId="0" xfId="1" applyFont="1" applyAlignment="1">
      <alignment horizontal="center" vertical="center" wrapText="1" shrinkToFit="1" readingOrder="2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right" vertical="center"/>
    </xf>
    <xf numFmtId="164" fontId="2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/>
    <xf numFmtId="164" fontId="12" fillId="0" borderId="0" xfId="1" applyNumberFormat="1" applyFont="1" applyFill="1" applyBorder="1" applyAlignment="1">
      <alignment vertical="center"/>
    </xf>
    <xf numFmtId="164" fontId="12" fillId="0" borderId="0" xfId="1" applyNumberFormat="1" applyFont="1" applyFill="1"/>
    <xf numFmtId="169" fontId="10" fillId="0" borderId="0" xfId="1" applyNumberFormat="1" applyFont="1" applyFill="1" applyAlignment="1">
      <alignment vertical="center"/>
    </xf>
    <xf numFmtId="170" fontId="10" fillId="0" borderId="0" xfId="2" applyNumberFormat="1" applyFont="1" applyFill="1" applyAlignment="1">
      <alignment horizontal="center" vertical="center"/>
    </xf>
    <xf numFmtId="164" fontId="22" fillId="0" borderId="0" xfId="1" applyNumberFormat="1" applyFont="1" applyFill="1" applyAlignment="1">
      <alignment vertical="center"/>
    </xf>
    <xf numFmtId="164" fontId="16" fillId="0" borderId="0" xfId="1" applyNumberFormat="1" applyFont="1" applyFill="1" applyAlignment="1">
      <alignment vertical="center"/>
    </xf>
    <xf numFmtId="164" fontId="42" fillId="0" borderId="0" xfId="1" applyNumberFormat="1" applyFont="1" applyFill="1" applyBorder="1" applyAlignment="1">
      <alignment vertical="center"/>
    </xf>
    <xf numFmtId="164" fontId="22" fillId="0" borderId="0" xfId="1" applyNumberFormat="1" applyFont="1" applyFill="1" applyBorder="1" applyAlignment="1">
      <alignment vertical="center"/>
    </xf>
    <xf numFmtId="164" fontId="61" fillId="0" borderId="0" xfId="1" applyNumberFormat="1" applyFont="1" applyFill="1" applyAlignment="1">
      <alignment vertical="center"/>
    </xf>
    <xf numFmtId="164" fontId="38" fillId="0" borderId="0" xfId="1" applyNumberFormat="1" applyFont="1" applyFill="1" applyAlignment="1">
      <alignment vertical="center"/>
    </xf>
    <xf numFmtId="164" fontId="42" fillId="0" borderId="0" xfId="1" applyNumberFormat="1" applyFont="1" applyFill="1"/>
    <xf numFmtId="164" fontId="20" fillId="0" borderId="0" xfId="1" applyNumberFormat="1" applyFont="1" applyFill="1" applyAlignment="1">
      <alignment horizontal="right" vertical="center"/>
    </xf>
    <xf numFmtId="43" fontId="10" fillId="0" borderId="0" xfId="1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center" vertical="center"/>
    </xf>
    <xf numFmtId="164" fontId="12" fillId="0" borderId="0" xfId="1" applyNumberFormat="1" applyFont="1" applyFill="1" applyAlignment="1">
      <alignment horizontal="center"/>
    </xf>
    <xf numFmtId="164" fontId="9" fillId="0" borderId="0" xfId="1" applyNumberFormat="1" applyFont="1" applyFill="1" applyAlignment="1"/>
    <xf numFmtId="166" fontId="48" fillId="0" borderId="0" xfId="1" applyNumberFormat="1" applyFont="1" applyFill="1" applyAlignment="1">
      <alignment horizontal="left" vertical="center" wrapText="1" shrinkToFit="1"/>
    </xf>
    <xf numFmtId="164" fontId="48" fillId="0" borderId="0" xfId="1" applyNumberFormat="1" applyFont="1" applyFill="1" applyAlignment="1">
      <alignment horizontal="left" vertical="center" wrapText="1" shrinkToFit="1"/>
    </xf>
    <xf numFmtId="167" fontId="48" fillId="0" borderId="0" xfId="1" applyNumberFormat="1" applyFont="1" applyFill="1" applyAlignment="1">
      <alignment horizontal="left" vertical="center" wrapText="1" shrinkToFit="1"/>
    </xf>
    <xf numFmtId="164" fontId="45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Fill="1"/>
    <xf numFmtId="164" fontId="22" fillId="0" borderId="8" xfId="1" applyNumberFormat="1" applyFont="1" applyFill="1" applyBorder="1" applyAlignment="1">
      <alignment horizontal="left" vertical="center"/>
    </xf>
    <xf numFmtId="164" fontId="14" fillId="0" borderId="0" xfId="0" applyNumberFormat="1" applyFont="1" applyFill="1"/>
    <xf numFmtId="0" fontId="20" fillId="0" borderId="0" xfId="0" applyFont="1" applyFill="1"/>
    <xf numFmtId="0" fontId="20" fillId="0" borderId="0" xfId="0" applyFont="1" applyFill="1" applyAlignment="1">
      <alignment horizontal="center" vertical="center"/>
    </xf>
    <xf numFmtId="165" fontId="14" fillId="0" borderId="0" xfId="0" applyNumberFormat="1" applyFont="1" applyFill="1"/>
    <xf numFmtId="164" fontId="22" fillId="0" borderId="8" xfId="1" applyNumberFormat="1" applyFont="1" applyFill="1" applyBorder="1" applyAlignment="1">
      <alignment vertical="center"/>
    </xf>
    <xf numFmtId="2" fontId="10" fillId="0" borderId="0" xfId="0" applyNumberFormat="1" applyFont="1" applyFill="1" applyAlignment="1">
      <alignment vertical="center"/>
    </xf>
    <xf numFmtId="37" fontId="13" fillId="0" borderId="0" xfId="0" applyNumberFormat="1" applyFont="1" applyFill="1" applyAlignment="1">
      <alignment horizontal="center" vertical="center" wrapText="1"/>
    </xf>
    <xf numFmtId="3" fontId="43" fillId="0" borderId="0" xfId="0" applyNumberFormat="1" applyFont="1" applyFill="1"/>
    <xf numFmtId="3" fontId="55" fillId="0" borderId="0" xfId="0" applyNumberFormat="1" applyFont="1" applyFill="1"/>
    <xf numFmtId="0" fontId="10" fillId="0" borderId="0" xfId="0" applyFont="1" applyFill="1"/>
    <xf numFmtId="0" fontId="31" fillId="0" borderId="0" xfId="0" applyFont="1" applyFill="1" applyAlignment="1">
      <alignment horizontal="center" vertical="center" wrapText="1" readingOrder="2"/>
    </xf>
    <xf numFmtId="9" fontId="39" fillId="0" borderId="2" xfId="2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Alignment="1">
      <alignment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  <xf numFmtId="3" fontId="20" fillId="0" borderId="0" xfId="0" applyNumberFormat="1" applyFont="1" applyFill="1"/>
    <xf numFmtId="164" fontId="20" fillId="0" borderId="0" xfId="0" applyNumberFormat="1" applyFont="1" applyFill="1"/>
    <xf numFmtId="3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7" fillId="0" borderId="0" xfId="0" applyFont="1" applyFill="1" applyAlignment="1">
      <alignment horizontal="right" vertical="center" readingOrder="2"/>
    </xf>
    <xf numFmtId="164" fontId="51" fillId="0" borderId="0" xfId="0" applyNumberFormat="1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164" fontId="53" fillId="0" borderId="0" xfId="0" applyNumberFormat="1" applyFont="1" applyFill="1" applyAlignment="1">
      <alignment vertical="center" wrapText="1" shrinkToFit="1"/>
    </xf>
    <xf numFmtId="0" fontId="9" fillId="0" borderId="0" xfId="0" applyFont="1" applyFill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/>
    </xf>
    <xf numFmtId="164" fontId="9" fillId="0" borderId="0" xfId="1" applyNumberFormat="1" applyFont="1" applyFill="1" applyAlignment="1">
      <alignment horizontal="center" vertical="center" wrapText="1" readingOrder="2"/>
    </xf>
    <xf numFmtId="164" fontId="8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171" fontId="62" fillId="0" borderId="0" xfId="1" applyNumberFormat="1" applyFont="1" applyFill="1" applyAlignment="1">
      <alignment vertical="center"/>
    </xf>
    <xf numFmtId="10" fontId="20" fillId="0" borderId="0" xfId="1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170" fontId="20" fillId="0" borderId="0" xfId="1" applyNumberFormat="1" applyFont="1" applyFill="1" applyAlignment="1">
      <alignment horizontal="center" vertical="center"/>
    </xf>
    <xf numFmtId="2" fontId="10" fillId="0" borderId="0" xfId="2" applyNumberFormat="1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18" fillId="0" borderId="1" xfId="0" applyFont="1" applyBorder="1" applyAlignment="1">
      <alignment horizontal="center" vertical="center" wrapText="1" readingOrder="2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22" fillId="0" borderId="0" xfId="0" applyFont="1" applyFill="1" applyAlignment="1">
      <alignment horizont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164" fontId="18" fillId="0" borderId="4" xfId="1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 readingOrder="2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170" fontId="8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 readingOrder="2"/>
    </xf>
    <xf numFmtId="0" fontId="12" fillId="0" borderId="0" xfId="0" applyFont="1" applyFill="1" applyAlignment="1">
      <alignment horizontal="right" vertical="center"/>
    </xf>
    <xf numFmtId="37" fontId="61" fillId="0" borderId="0" xfId="0" quotePrefix="1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164" fontId="6" fillId="0" borderId="2" xfId="0" applyNumberFormat="1" applyFont="1" applyFill="1" applyBorder="1" applyAlignment="1">
      <alignment horizontal="center" vertical="center" readingOrder="2"/>
    </xf>
    <xf numFmtId="164" fontId="12" fillId="0" borderId="0" xfId="0" applyNumberFormat="1" applyFont="1" applyFill="1" applyAlignment="1">
      <alignment horizontal="center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63" fillId="0" borderId="0" xfId="0" applyNumberFormat="1" applyFont="1" applyFill="1"/>
    <xf numFmtId="0" fontId="9" fillId="0" borderId="0" xfId="0" applyFont="1" applyFill="1"/>
    <xf numFmtId="37" fontId="44" fillId="0" borderId="0" xfId="0" applyNumberFormat="1" applyFont="1" applyFill="1" applyAlignment="1">
      <alignment horizontal="right" vertical="center"/>
    </xf>
    <xf numFmtId="0" fontId="45" fillId="0" borderId="0" xfId="0" applyFont="1" applyFill="1"/>
    <xf numFmtId="0" fontId="45" fillId="0" borderId="0" xfId="0" applyFont="1" applyFill="1"/>
    <xf numFmtId="37" fontId="44" fillId="0" borderId="0" xfId="0" applyNumberFormat="1" applyFont="1" applyFill="1" applyAlignment="1">
      <alignment horizontal="right" vertical="center"/>
    </xf>
    <xf numFmtId="37" fontId="44" fillId="0" borderId="16" xfId="0" applyNumberFormat="1" applyFont="1" applyFill="1" applyBorder="1" applyAlignment="1">
      <alignment horizontal="center" vertical="center"/>
    </xf>
    <xf numFmtId="0" fontId="45" fillId="0" borderId="3" xfId="0" applyFont="1" applyFill="1" applyBorder="1"/>
    <xf numFmtId="37" fontId="44" fillId="0" borderId="3" xfId="0" applyNumberFormat="1" applyFont="1" applyFill="1" applyBorder="1" applyAlignment="1">
      <alignment horizontal="center" vertical="center" wrapText="1"/>
    </xf>
    <xf numFmtId="37" fontId="44" fillId="0" borderId="15" xfId="0" applyNumberFormat="1" applyFont="1" applyFill="1" applyBorder="1" applyAlignment="1">
      <alignment horizontal="center" vertical="center" wrapText="1"/>
    </xf>
    <xf numFmtId="37" fontId="44" fillId="0" borderId="17" xfId="0" applyNumberFormat="1" applyFont="1" applyFill="1" applyBorder="1" applyAlignment="1">
      <alignment horizontal="center" vertical="center"/>
    </xf>
    <xf numFmtId="0" fontId="0" fillId="0" borderId="0" xfId="0" applyFill="1"/>
    <xf numFmtId="37" fontId="46" fillId="0" borderId="19" xfId="0" applyNumberFormat="1" applyFont="1" applyFill="1" applyBorder="1" applyAlignment="1">
      <alignment horizontal="right" vertical="center" wrapText="1"/>
    </xf>
    <xf numFmtId="0" fontId="47" fillId="0" borderId="0" xfId="0" applyFont="1" applyFill="1" applyAlignment="1">
      <alignment horizontal="center"/>
    </xf>
    <xf numFmtId="164" fontId="46" fillId="0" borderId="9" xfId="0" applyNumberFormat="1" applyFont="1" applyFill="1" applyBorder="1" applyAlignment="1">
      <alignment horizontal="left" vertical="center" wrapText="1" shrinkToFit="1"/>
    </xf>
    <xf numFmtId="164" fontId="46" fillId="0" borderId="9" xfId="0" applyNumberFormat="1" applyFont="1" applyFill="1" applyBorder="1" applyAlignment="1">
      <alignment horizontal="right" vertical="center" wrapText="1" shrinkToFit="1"/>
    </xf>
    <xf numFmtId="168" fontId="46" fillId="0" borderId="0" xfId="0" applyNumberFormat="1" applyFont="1" applyFill="1" applyAlignment="1">
      <alignment horizontal="center" vertical="center" wrapText="1" shrinkToFit="1"/>
    </xf>
    <xf numFmtId="0" fontId="48" fillId="0" borderId="0" xfId="0" applyFont="1" applyFill="1"/>
    <xf numFmtId="164" fontId="46" fillId="0" borderId="20" xfId="0" applyNumberFormat="1" applyFont="1" applyFill="1" applyBorder="1" applyAlignment="1">
      <alignment horizontal="right" vertical="center" wrapText="1" shrinkToFit="1"/>
    </xf>
    <xf numFmtId="164" fontId="45" fillId="0" borderId="0" xfId="0" applyNumberFormat="1" applyFont="1" applyFill="1" applyAlignment="1">
      <alignment vertical="center"/>
    </xf>
    <xf numFmtId="37" fontId="46" fillId="0" borderId="21" xfId="0" applyNumberFormat="1" applyFont="1" applyFill="1" applyBorder="1" applyAlignment="1">
      <alignment horizontal="right" vertical="center" wrapText="1"/>
    </xf>
    <xf numFmtId="164" fontId="46" fillId="0" borderId="0" xfId="0" applyNumberFormat="1" applyFont="1" applyFill="1" applyAlignment="1">
      <alignment horizontal="left" vertical="center" wrapText="1" shrinkToFit="1"/>
    </xf>
    <xf numFmtId="164" fontId="46" fillId="0" borderId="0" xfId="0" applyNumberFormat="1" applyFont="1" applyFill="1" applyAlignment="1">
      <alignment horizontal="right" vertical="center" wrapText="1" shrinkToFit="1"/>
    </xf>
    <xf numFmtId="164" fontId="46" fillId="0" borderId="22" xfId="0" applyNumberFormat="1" applyFont="1" applyFill="1" applyBorder="1" applyAlignment="1">
      <alignment horizontal="right" vertical="center" wrapText="1" shrinkToFit="1"/>
    </xf>
    <xf numFmtId="0" fontId="0" fillId="0" borderId="1" xfId="0" applyFill="1" applyBorder="1"/>
    <xf numFmtId="164" fontId="46" fillId="0" borderId="1" xfId="0" applyNumberFormat="1" applyFont="1" applyFill="1" applyBorder="1" applyAlignment="1">
      <alignment horizontal="left" vertical="center" wrapText="1" shrinkToFit="1"/>
    </xf>
    <xf numFmtId="0" fontId="48" fillId="0" borderId="1" xfId="0" applyFont="1" applyFill="1" applyBorder="1"/>
    <xf numFmtId="164" fontId="46" fillId="0" borderId="18" xfId="0" applyNumberFormat="1" applyFont="1" applyFill="1" applyBorder="1" applyAlignment="1">
      <alignment horizontal="right" vertical="center" wrapText="1" shrinkToFit="1"/>
    </xf>
    <xf numFmtId="164" fontId="0" fillId="0" borderId="0" xfId="0" applyNumberFormat="1" applyFill="1"/>
    <xf numFmtId="0" fontId="0" fillId="0" borderId="0" xfId="0" applyFill="1" applyBorder="1"/>
    <xf numFmtId="0" fontId="0" fillId="0" borderId="0" xfId="0" applyFill="1" applyAlignment="1">
      <alignment horizontal="right"/>
    </xf>
    <xf numFmtId="164" fontId="46" fillId="0" borderId="0" xfId="0" applyNumberFormat="1" applyFont="1" applyFill="1" applyBorder="1" applyAlignment="1">
      <alignment horizontal="left" vertical="center" wrapText="1" shrinkToFit="1"/>
    </xf>
    <xf numFmtId="0" fontId="16" fillId="0" borderId="0" xfId="0" applyFont="1" applyFill="1"/>
    <xf numFmtId="0" fontId="20" fillId="0" borderId="1" xfId="0" applyFont="1" applyFill="1" applyBorder="1"/>
    <xf numFmtId="10" fontId="20" fillId="0" borderId="1" xfId="0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59" fillId="0" borderId="1" xfId="0" applyFont="1" applyFill="1" applyBorder="1" applyAlignment="1">
      <alignment horizontal="center"/>
    </xf>
    <xf numFmtId="0" fontId="60" fillId="0" borderId="0" xfId="0" applyFont="1" applyFill="1"/>
    <xf numFmtId="0" fontId="59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horizontal="center" vertical="center" wrapText="1"/>
    </xf>
    <xf numFmtId="10" fontId="20" fillId="0" borderId="0" xfId="0" applyNumberFormat="1" applyFont="1" applyFill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 readingOrder="2"/>
    </xf>
    <xf numFmtId="1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readingOrder="2"/>
    </xf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10" fontId="20" fillId="0" borderId="0" xfId="0" applyNumberFormat="1" applyFont="1" applyFill="1" applyAlignment="1">
      <alignment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2" xfId="1" applyNumberFormat="1" applyFont="1" applyFill="1" applyBorder="1" applyAlignment="1">
      <alignment horizontal="center" vertical="center" readingOrder="2"/>
    </xf>
    <xf numFmtId="10" fontId="16" fillId="0" borderId="0" xfId="0" applyNumberFormat="1" applyFont="1" applyFill="1"/>
    <xf numFmtId="0" fontId="12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0" fillId="0" borderId="0" xfId="0" applyNumberFormat="1" applyFont="1" applyFill="1"/>
    <xf numFmtId="164" fontId="20" fillId="0" borderId="0" xfId="1" applyNumberFormat="1" applyFont="1" applyFill="1" applyBorder="1"/>
    <xf numFmtId="37" fontId="2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" fontId="64" fillId="0" borderId="0" xfId="0" applyNumberFormat="1" applyFont="1" applyFill="1"/>
    <xf numFmtId="0" fontId="20" fillId="0" borderId="0" xfId="0" applyFont="1" applyFill="1" applyAlignment="1">
      <alignment vertical="center"/>
    </xf>
    <xf numFmtId="0" fontId="26" fillId="0" borderId="0" xfId="0" applyFont="1" applyFill="1" applyAlignment="1">
      <alignment horizontal="right" vertical="center" readingOrder="2"/>
    </xf>
    <xf numFmtId="0" fontId="23" fillId="0" borderId="1" xfId="0" applyFont="1" applyFill="1" applyBorder="1" applyAlignment="1">
      <alignment horizontal="center" vertical="center" wrapText="1" readingOrder="2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4" fillId="0" borderId="0" xfId="0" applyFont="1" applyFill="1" applyAlignment="1">
      <alignment horizontal="right"/>
    </xf>
    <xf numFmtId="3" fontId="14" fillId="0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vertical="center"/>
    </xf>
    <xf numFmtId="165" fontId="20" fillId="0" borderId="0" xfId="0" applyNumberFormat="1" applyFont="1" applyFill="1"/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vertical="center" wrapText="1" readingOrder="2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3" fontId="10" fillId="0" borderId="0" xfId="0" applyNumberFormat="1" applyFont="1" applyFill="1"/>
    <xf numFmtId="0" fontId="29" fillId="0" borderId="4" xfId="0" applyFont="1" applyFill="1" applyBorder="1" applyAlignment="1">
      <alignment horizontal="center" vertical="center" wrapText="1" readingOrder="2"/>
    </xf>
    <xf numFmtId="0" fontId="29" fillId="0" borderId="15" xfId="0" applyFont="1" applyFill="1" applyBorder="1" applyAlignment="1">
      <alignment horizontal="center" vertical="center" wrapText="1" readingOrder="2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164" fontId="12" fillId="0" borderId="2" xfId="1" applyNumberFormat="1" applyFont="1" applyFill="1" applyBorder="1" applyAlignment="1">
      <alignment vertical="center"/>
    </xf>
    <xf numFmtId="164" fontId="12" fillId="0" borderId="8" xfId="1" applyNumberFormat="1" applyFont="1" applyFill="1" applyBorder="1" applyAlignment="1">
      <alignment horizontal="center" vertical="center"/>
    </xf>
    <xf numFmtId="164" fontId="12" fillId="0" borderId="8" xfId="1" applyNumberFormat="1" applyFont="1" applyFill="1" applyBorder="1" applyAlignment="1">
      <alignment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4"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9</xdr:col>
      <xdr:colOff>497466</xdr:colOff>
      <xdr:row>36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75D753-6A41-40F2-AE6C-B8D7E432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702534" y="0"/>
          <a:ext cx="5983865" cy="7743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E23" sqref="E23"/>
    </sheetView>
  </sheetViews>
  <sheetFormatPr defaultColWidth="9.140625" defaultRowHeight="17.25"/>
  <cols>
    <col min="1" max="16384" width="9.140625" style="7"/>
  </cols>
  <sheetData>
    <row r="18" spans="1:13">
      <c r="M18" s="7" t="s">
        <v>58</v>
      </c>
    </row>
    <row r="24" spans="1:13" ht="15" customHeight="1">
      <c r="A24" s="209" t="s">
        <v>73</v>
      </c>
      <c r="B24" s="209"/>
      <c r="C24" s="209"/>
      <c r="D24" s="209"/>
      <c r="E24" s="209"/>
      <c r="F24" s="209"/>
      <c r="G24" s="209"/>
      <c r="H24" s="209"/>
      <c r="I24" s="209"/>
      <c r="J24" s="209"/>
      <c r="K24" s="32"/>
      <c r="L24" s="32"/>
    </row>
    <row r="25" spans="1:13" ht="15" customHeight="1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32"/>
      <c r="L25" s="32"/>
    </row>
    <row r="26" spans="1:13" ht="15" customHeight="1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32"/>
      <c r="L26" s="32"/>
    </row>
    <row r="28" spans="1:13" ht="15" customHeight="1">
      <c r="A28" s="209" t="s">
        <v>238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</row>
    <row r="29" spans="1:13" ht="15" customHeight="1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</row>
    <row r="30" spans="1:13" ht="15" customHeight="1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</row>
    <row r="31" spans="1:13" ht="15" customHeight="1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="60" zoomScaleNormal="100" workbookViewId="0">
      <selection activeCell="O8" sqref="O8:O9"/>
    </sheetView>
  </sheetViews>
  <sheetFormatPr defaultColWidth="9.140625" defaultRowHeight="30.75"/>
  <cols>
    <col min="1" max="1" width="36.7109375" style="39" customWidth="1"/>
    <col min="2" max="2" width="1.85546875" style="39" customWidth="1"/>
    <col min="3" max="3" width="22.5703125" style="43" bestFit="1" customWidth="1"/>
    <col min="4" max="4" width="1.140625" style="43" customWidth="1"/>
    <col min="5" max="5" width="32" style="43" bestFit="1" customWidth="1"/>
    <col min="6" max="6" width="1.42578125" style="43" customWidth="1"/>
    <col min="7" max="7" width="32.140625" style="43" customWidth="1"/>
    <col min="8" max="8" width="1.5703125" style="43" customWidth="1"/>
    <col min="9" max="9" width="20.5703125" style="43" bestFit="1" customWidth="1"/>
    <col min="10" max="10" width="29.140625" style="43" bestFit="1" customWidth="1"/>
    <col min="11" max="11" width="1.42578125" style="43" customWidth="1"/>
    <col min="12" max="12" width="20.7109375" style="43" customWidth="1"/>
    <col min="13" max="13" width="29.140625" style="43" customWidth="1"/>
    <col min="14" max="14" width="1.140625" style="43" customWidth="1"/>
    <col min="15" max="15" width="22.5703125" style="43" bestFit="1" customWidth="1"/>
    <col min="16" max="16" width="1.42578125" style="43" customWidth="1"/>
    <col min="17" max="17" width="18.7109375" style="43" customWidth="1"/>
    <col min="18" max="18" width="1.5703125" style="43" customWidth="1"/>
    <col min="19" max="19" width="32" style="43" bestFit="1" customWidth="1"/>
    <col min="20" max="20" width="1.85546875" style="43" customWidth="1"/>
    <col min="21" max="21" width="37.42578125" style="43" bestFit="1" customWidth="1"/>
    <col min="22" max="22" width="1.5703125" style="39" customWidth="1"/>
    <col min="23" max="23" width="21.85546875" style="50" customWidth="1"/>
    <col min="24" max="24" width="10.140625" style="39" bestFit="1" customWidth="1"/>
    <col min="25" max="16384" width="9.140625" style="39"/>
  </cols>
  <sheetData>
    <row r="1" spans="1:23" ht="31.5">
      <c r="A1" s="218" t="s">
        <v>89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23" ht="31.5">
      <c r="A2" s="218" t="s">
        <v>50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3" spans="1:23" ht="31.5">
      <c r="A3" s="218" t="s">
        <v>239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</row>
    <row r="4" spans="1:23" ht="31.5">
      <c r="A4" s="225" t="s">
        <v>25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</row>
    <row r="5" spans="1:23" ht="31.5">
      <c r="A5" s="225" t="s">
        <v>26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</row>
    <row r="7" spans="1:23" ht="36.75" customHeight="1" thickBot="1">
      <c r="A7" s="1"/>
      <c r="B7" s="2"/>
      <c r="C7" s="210" t="s">
        <v>205</v>
      </c>
      <c r="D7" s="210"/>
      <c r="E7" s="210"/>
      <c r="F7" s="210"/>
      <c r="G7" s="210"/>
      <c r="H7" s="3"/>
      <c r="I7" s="226" t="s">
        <v>7</v>
      </c>
      <c r="J7" s="226"/>
      <c r="K7" s="226"/>
      <c r="L7" s="226"/>
      <c r="M7" s="226"/>
      <c r="O7" s="211" t="s">
        <v>240</v>
      </c>
      <c r="P7" s="211"/>
      <c r="Q7" s="211"/>
      <c r="R7" s="211"/>
      <c r="S7" s="211"/>
      <c r="T7" s="211"/>
      <c r="U7" s="211"/>
      <c r="V7" s="211"/>
      <c r="W7" s="211"/>
    </row>
    <row r="8" spans="1:23" ht="29.25" customHeight="1">
      <c r="A8" s="219" t="s">
        <v>1</v>
      </c>
      <c r="B8" s="4"/>
      <c r="C8" s="224" t="s">
        <v>3</v>
      </c>
      <c r="D8" s="212"/>
      <c r="E8" s="224" t="s">
        <v>0</v>
      </c>
      <c r="F8" s="212"/>
      <c r="G8" s="214" t="s">
        <v>21</v>
      </c>
      <c r="H8" s="42"/>
      <c r="I8" s="221" t="s">
        <v>4</v>
      </c>
      <c r="J8" s="221"/>
      <c r="K8" s="44"/>
      <c r="L8" s="221" t="s">
        <v>5</v>
      </c>
      <c r="M8" s="221"/>
      <c r="O8" s="222" t="s">
        <v>3</v>
      </c>
      <c r="P8" s="212"/>
      <c r="Q8" s="214" t="s">
        <v>33</v>
      </c>
      <c r="R8" s="41"/>
      <c r="S8" s="222" t="s">
        <v>0</v>
      </c>
      <c r="T8" s="212"/>
      <c r="U8" s="214" t="s">
        <v>21</v>
      </c>
      <c r="V8" s="5"/>
      <c r="W8" s="216" t="s">
        <v>22</v>
      </c>
    </row>
    <row r="9" spans="1:23" ht="49.5" customHeight="1" thickBot="1">
      <c r="A9" s="220"/>
      <c r="B9" s="4"/>
      <c r="C9" s="223"/>
      <c r="D9" s="213"/>
      <c r="E9" s="223"/>
      <c r="F9" s="213"/>
      <c r="G9" s="215"/>
      <c r="H9" s="42"/>
      <c r="I9" s="45" t="s">
        <v>3</v>
      </c>
      <c r="J9" s="45" t="s">
        <v>0</v>
      </c>
      <c r="K9" s="44"/>
      <c r="L9" s="45" t="s">
        <v>3</v>
      </c>
      <c r="M9" s="45" t="s">
        <v>49</v>
      </c>
      <c r="O9" s="223"/>
      <c r="P9" s="212"/>
      <c r="Q9" s="215"/>
      <c r="R9" s="41"/>
      <c r="S9" s="223"/>
      <c r="T9" s="212"/>
      <c r="U9" s="215"/>
      <c r="V9" s="5"/>
      <c r="W9" s="217"/>
    </row>
    <row r="10" spans="1:23" ht="28.5" customHeight="1" thickBot="1">
      <c r="A10" s="86" t="s">
        <v>92</v>
      </c>
      <c r="C10" s="43">
        <v>0</v>
      </c>
      <c r="E10" s="43">
        <v>0</v>
      </c>
      <c r="G10" s="43">
        <v>0</v>
      </c>
      <c r="I10" s="43">
        <v>0</v>
      </c>
      <c r="J10" s="43">
        <v>0</v>
      </c>
      <c r="K10" s="6"/>
      <c r="L10" s="43">
        <v>0</v>
      </c>
      <c r="M10" s="43">
        <v>0</v>
      </c>
      <c r="O10" s="43">
        <v>0</v>
      </c>
      <c r="Q10" s="43">
        <v>0</v>
      </c>
      <c r="S10" s="43">
        <v>0</v>
      </c>
      <c r="U10" s="43">
        <v>0</v>
      </c>
      <c r="V10" s="6"/>
      <c r="W10" s="72">
        <f>U10/درآمدها!$J$5</f>
        <v>0</v>
      </c>
    </row>
    <row r="11" spans="1:23" ht="42" customHeight="1" thickBot="1">
      <c r="A11" s="39" t="s">
        <v>2</v>
      </c>
      <c r="B11" s="4"/>
      <c r="D11" s="46">
        <f>SUM(D10:D10)</f>
        <v>0</v>
      </c>
      <c r="E11" s="46">
        <f>SUM(E10:E10)</f>
        <v>0</v>
      </c>
      <c r="G11" s="46">
        <f>SUM(G10:G10)</f>
        <v>0</v>
      </c>
      <c r="J11" s="46">
        <f>SUM(J10:J10)</f>
        <v>0</v>
      </c>
      <c r="M11" s="46">
        <f>SUM(M10:M10)</f>
        <v>0</v>
      </c>
      <c r="S11" s="46">
        <f>SUM(S10:S10)</f>
        <v>0</v>
      </c>
      <c r="U11" s="47">
        <f>SUM(U10:U10)</f>
        <v>0</v>
      </c>
      <c r="W11" s="48">
        <f>SUM(W10:W10)</f>
        <v>0</v>
      </c>
    </row>
    <row r="12" spans="1:23" ht="31.5" thickTop="1">
      <c r="U12" s="49"/>
    </row>
    <row r="14" spans="1:23">
      <c r="E14" s="82"/>
      <c r="G14" s="82"/>
      <c r="S14" s="82"/>
      <c r="U14" s="82"/>
    </row>
    <row r="15" spans="1:23">
      <c r="G15" s="43" t="s">
        <v>58</v>
      </c>
    </row>
    <row r="16" spans="1:23">
      <c r="E16" s="82"/>
      <c r="G16" s="82"/>
      <c r="S16" s="82"/>
      <c r="U16" s="82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6"/>
  <sheetViews>
    <sheetView rightToLeft="1" view="pageBreakPreview" zoomScale="55" zoomScaleNormal="100" zoomScaleSheetLayoutView="55" workbookViewId="0">
      <selection activeCell="AH8" sqref="AH8:AH13"/>
    </sheetView>
  </sheetViews>
  <sheetFormatPr defaultColWidth="9.140625" defaultRowHeight="30.75"/>
  <cols>
    <col min="1" max="1" width="45.7109375" style="272" customWidth="1"/>
    <col min="2" max="2" width="0.5703125" style="272" customWidth="1"/>
    <col min="3" max="3" width="12.5703125" style="272" customWidth="1"/>
    <col min="4" max="4" width="0.5703125" style="272" customWidth="1"/>
    <col min="5" max="5" width="29.140625" style="272" customWidth="1"/>
    <col min="6" max="6" width="0.5703125" style="272" customWidth="1"/>
    <col min="7" max="7" width="26.7109375" style="272" bestFit="1" customWidth="1"/>
    <col min="8" max="8" width="0.5703125" style="272" customWidth="1"/>
    <col min="9" max="9" width="22.5703125" style="272" bestFit="1" customWidth="1"/>
    <col min="10" max="10" width="0.42578125" style="272" customWidth="1"/>
    <col min="11" max="11" width="24.42578125" style="272" bestFit="1" customWidth="1"/>
    <col min="12" max="12" width="0.7109375" style="272" customWidth="1"/>
    <col min="13" max="13" width="17.42578125" style="272" customWidth="1"/>
    <col min="14" max="14" width="1.140625" style="272" hidden="1" customWidth="1"/>
    <col min="15" max="15" width="37.42578125" style="272" bestFit="1" customWidth="1"/>
    <col min="16" max="16" width="0.5703125" style="272" customWidth="1"/>
    <col min="17" max="17" width="37.42578125" style="272" bestFit="1" customWidth="1"/>
    <col min="18" max="18" width="0.5703125" style="272" customWidth="1"/>
    <col min="19" max="19" width="18.42578125" style="272" bestFit="1" customWidth="1"/>
    <col min="20" max="20" width="34" style="272" bestFit="1" customWidth="1"/>
    <col min="21" max="21" width="0.5703125" style="272" customWidth="1"/>
    <col min="22" max="22" width="16.140625" style="272" bestFit="1" customWidth="1"/>
    <col min="23" max="23" width="31.85546875" style="272" bestFit="1" customWidth="1"/>
    <col min="24" max="24" width="0.5703125" style="272" customWidth="1"/>
    <col min="25" max="25" width="19.42578125" style="272" bestFit="1" customWidth="1"/>
    <col min="26" max="26" width="0.42578125" style="272" customWidth="1"/>
    <col min="27" max="27" width="23" style="272" bestFit="1" customWidth="1"/>
    <col min="28" max="28" width="0.7109375" style="272" customWidth="1"/>
    <col min="29" max="29" width="36.28515625" style="272" bestFit="1" customWidth="1"/>
    <col min="30" max="30" width="0.7109375" style="272" customWidth="1"/>
    <col min="31" max="31" width="37.42578125" style="272" bestFit="1" customWidth="1"/>
    <col min="32" max="32" width="0.7109375" style="272" customWidth="1"/>
    <col min="33" max="33" width="16.5703125" style="272" customWidth="1"/>
    <col min="34" max="34" width="27" style="49" bestFit="1" customWidth="1"/>
    <col min="35" max="35" width="25.42578125" style="49" bestFit="1" customWidth="1"/>
    <col min="36" max="36" width="14.5703125" style="272" bestFit="1" customWidth="1"/>
    <col min="37" max="16384" width="9.140625" style="272"/>
  </cols>
  <sheetData>
    <row r="1" spans="1:36" s="179" customFormat="1">
      <c r="A1" s="270" t="s">
        <v>89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49"/>
      <c r="AI1" s="49"/>
    </row>
    <row r="2" spans="1:36" s="179" customFormat="1">
      <c r="A2" s="270" t="s">
        <v>50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49"/>
      <c r="AI2" s="49"/>
    </row>
    <row r="3" spans="1:36" s="179" customFormat="1">
      <c r="A3" s="270" t="str">
        <f>' سهام'!A3:W3</f>
        <v>برای ماه منتهی به 1402/06/31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49"/>
      <c r="AI3" s="49"/>
    </row>
    <row r="4" spans="1:36">
      <c r="A4" s="271" t="s">
        <v>66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</row>
    <row r="5" spans="1:36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</row>
    <row r="6" spans="1:36" ht="27.75" customHeight="1" thickBot="1">
      <c r="A6" s="274" t="s">
        <v>67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 t="s">
        <v>205</v>
      </c>
      <c r="N6" s="274"/>
      <c r="O6" s="274"/>
      <c r="P6" s="274"/>
      <c r="Q6" s="274"/>
      <c r="R6" s="275"/>
      <c r="S6" s="276" t="s">
        <v>7</v>
      </c>
      <c r="T6" s="276"/>
      <c r="U6" s="276"/>
      <c r="V6" s="276"/>
      <c r="W6" s="276"/>
      <c r="X6" s="273"/>
      <c r="Y6" s="274" t="s">
        <v>240</v>
      </c>
      <c r="Z6" s="274"/>
      <c r="AA6" s="274"/>
      <c r="AB6" s="274"/>
      <c r="AC6" s="274"/>
      <c r="AD6" s="274"/>
      <c r="AE6" s="274"/>
      <c r="AF6" s="274"/>
      <c r="AG6" s="274"/>
    </row>
    <row r="7" spans="1:36" ht="26.25" customHeight="1">
      <c r="A7" s="277" t="s">
        <v>68</v>
      </c>
      <c r="B7" s="197"/>
      <c r="C7" s="278" t="s">
        <v>69</v>
      </c>
      <c r="D7" s="197"/>
      <c r="E7" s="279" t="s">
        <v>74</v>
      </c>
      <c r="F7" s="197"/>
      <c r="G7" s="280" t="s">
        <v>70</v>
      </c>
      <c r="H7" s="197"/>
      <c r="I7" s="278" t="s">
        <v>23</v>
      </c>
      <c r="J7" s="197"/>
      <c r="K7" s="279" t="s">
        <v>71</v>
      </c>
      <c r="L7" s="281"/>
      <c r="M7" s="282" t="s">
        <v>3</v>
      </c>
      <c r="N7" s="280"/>
      <c r="O7" s="280" t="s">
        <v>0</v>
      </c>
      <c r="P7" s="280"/>
      <c r="Q7" s="280" t="s">
        <v>21</v>
      </c>
      <c r="R7" s="197"/>
      <c r="S7" s="283" t="s">
        <v>4</v>
      </c>
      <c r="T7" s="283"/>
      <c r="U7" s="273"/>
      <c r="V7" s="283" t="s">
        <v>5</v>
      </c>
      <c r="W7" s="283"/>
      <c r="X7" s="273"/>
      <c r="Y7" s="282" t="s">
        <v>3</v>
      </c>
      <c r="Z7" s="277"/>
      <c r="AA7" s="280" t="s">
        <v>72</v>
      </c>
      <c r="AB7" s="197"/>
      <c r="AC7" s="280" t="s">
        <v>0</v>
      </c>
      <c r="AD7" s="277"/>
      <c r="AE7" s="280" t="s">
        <v>21</v>
      </c>
      <c r="AF7" s="284"/>
      <c r="AG7" s="280" t="s">
        <v>22</v>
      </c>
    </row>
    <row r="8" spans="1:36" s="201" customFormat="1" ht="55.5" customHeight="1" thickBot="1">
      <c r="A8" s="274"/>
      <c r="B8" s="197"/>
      <c r="C8" s="285"/>
      <c r="D8" s="197"/>
      <c r="E8" s="285"/>
      <c r="F8" s="197"/>
      <c r="G8" s="274"/>
      <c r="H8" s="197"/>
      <c r="I8" s="285"/>
      <c r="J8" s="197"/>
      <c r="K8" s="285"/>
      <c r="L8" s="275"/>
      <c r="M8" s="286"/>
      <c r="N8" s="277"/>
      <c r="O8" s="274"/>
      <c r="P8" s="277"/>
      <c r="Q8" s="274"/>
      <c r="R8" s="197"/>
      <c r="S8" s="287" t="s">
        <v>3</v>
      </c>
      <c r="T8" s="287" t="s">
        <v>0</v>
      </c>
      <c r="U8" s="198"/>
      <c r="V8" s="287" t="s">
        <v>3</v>
      </c>
      <c r="W8" s="287" t="s">
        <v>49</v>
      </c>
      <c r="X8" s="198"/>
      <c r="Y8" s="286"/>
      <c r="Z8" s="277"/>
      <c r="AA8" s="274"/>
      <c r="AB8" s="197"/>
      <c r="AC8" s="274"/>
      <c r="AD8" s="277"/>
      <c r="AE8" s="274"/>
      <c r="AF8" s="284"/>
      <c r="AG8" s="274"/>
      <c r="AH8" s="49"/>
      <c r="AI8" s="49"/>
      <c r="AJ8" s="288"/>
    </row>
    <row r="9" spans="1:36" s="201" customFormat="1" ht="55.5" customHeight="1">
      <c r="A9" s="289" t="s">
        <v>189</v>
      </c>
      <c r="B9" s="197"/>
      <c r="C9" s="275" t="s">
        <v>93</v>
      </c>
      <c r="D9" s="197"/>
      <c r="E9" s="275" t="s">
        <v>93</v>
      </c>
      <c r="F9" s="197"/>
      <c r="G9" s="290" t="s">
        <v>190</v>
      </c>
      <c r="H9" s="290"/>
      <c r="I9" s="290" t="s">
        <v>191</v>
      </c>
      <c r="J9" s="197"/>
      <c r="K9" s="88">
        <v>1000000</v>
      </c>
      <c r="L9" s="275"/>
      <c r="M9" s="49">
        <v>1015000</v>
      </c>
      <c r="N9" s="197"/>
      <c r="O9" s="49">
        <v>1004049950000</v>
      </c>
      <c r="P9" s="197"/>
      <c r="Q9" s="49">
        <v>1007831052509</v>
      </c>
      <c r="R9" s="197"/>
      <c r="S9" s="49">
        <v>0</v>
      </c>
      <c r="T9" s="49">
        <v>0</v>
      </c>
      <c r="U9" s="198"/>
      <c r="V9" s="49">
        <v>1015000</v>
      </c>
      <c r="W9" s="49">
        <v>1004049950000</v>
      </c>
      <c r="X9" s="198"/>
      <c r="Y9" s="49">
        <v>0</v>
      </c>
      <c r="Z9" s="197"/>
      <c r="AA9" s="142"/>
      <c r="AB9" s="197"/>
      <c r="AC9" s="49">
        <v>0</v>
      </c>
      <c r="AD9" s="49"/>
      <c r="AE9" s="49">
        <v>0</v>
      </c>
      <c r="AF9" s="284"/>
      <c r="AG9" s="291">
        <f>AE9/درآمدها!$J$5</f>
        <v>0</v>
      </c>
      <c r="AH9" s="49"/>
      <c r="AI9" s="49"/>
      <c r="AJ9" s="288"/>
    </row>
    <row r="10" spans="1:36" s="201" customFormat="1" ht="55.5" customHeight="1">
      <c r="A10" s="289" t="s">
        <v>244</v>
      </c>
      <c r="B10" s="197"/>
      <c r="C10" s="275" t="s">
        <v>93</v>
      </c>
      <c r="D10" s="197"/>
      <c r="E10" s="275" t="s">
        <v>93</v>
      </c>
      <c r="F10" s="197"/>
      <c r="G10" s="290" t="s">
        <v>246</v>
      </c>
      <c r="H10" s="292"/>
      <c r="I10" s="290" t="s">
        <v>248</v>
      </c>
      <c r="J10" s="197"/>
      <c r="K10" s="88">
        <v>1000000</v>
      </c>
      <c r="L10" s="275"/>
      <c r="M10" s="49">
        <v>0</v>
      </c>
      <c r="N10" s="199">
        <v>200036250000</v>
      </c>
      <c r="O10" s="49">
        <v>0</v>
      </c>
      <c r="P10" s="49"/>
      <c r="Q10" s="49">
        <v>0</v>
      </c>
      <c r="R10" s="49"/>
      <c r="S10" s="49">
        <v>650000</v>
      </c>
      <c r="T10" s="49">
        <v>604000000000</v>
      </c>
      <c r="U10" s="49"/>
      <c r="V10" s="49">
        <v>0</v>
      </c>
      <c r="W10" s="49">
        <v>0</v>
      </c>
      <c r="X10" s="49"/>
      <c r="Y10" s="49">
        <v>650000</v>
      </c>
      <c r="Z10" s="49"/>
      <c r="AA10" s="142" t="s">
        <v>250</v>
      </c>
      <c r="AB10" s="49"/>
      <c r="AC10" s="49">
        <v>604000000000</v>
      </c>
      <c r="AD10" s="49"/>
      <c r="AE10" s="49">
        <v>601550449217</v>
      </c>
      <c r="AF10" s="293"/>
      <c r="AG10" s="291">
        <f>AE10/درآمدها!$J$5</f>
        <v>0.21373887206089862</v>
      </c>
      <c r="AH10" s="49"/>
      <c r="AI10" s="49"/>
      <c r="AJ10" s="288"/>
    </row>
    <row r="11" spans="1:36" s="201" customFormat="1" ht="55.5" customHeight="1">
      <c r="A11" s="289" t="s">
        <v>103</v>
      </c>
      <c r="B11" s="197"/>
      <c r="C11" s="290" t="s">
        <v>93</v>
      </c>
      <c r="D11" s="292"/>
      <c r="E11" s="290" t="s">
        <v>93</v>
      </c>
      <c r="F11" s="292"/>
      <c r="G11" s="290" t="s">
        <v>104</v>
      </c>
      <c r="H11" s="292"/>
      <c r="I11" s="290" t="s">
        <v>105</v>
      </c>
      <c r="J11" s="290"/>
      <c r="K11" s="88">
        <v>1000000</v>
      </c>
      <c r="L11" s="275"/>
      <c r="M11" s="49">
        <v>200000</v>
      </c>
      <c r="N11" s="200"/>
      <c r="O11" s="49">
        <v>200036250000</v>
      </c>
      <c r="P11" s="49"/>
      <c r="Q11" s="49">
        <v>211223108872</v>
      </c>
      <c r="R11" s="49"/>
      <c r="S11" s="49">
        <v>0</v>
      </c>
      <c r="T11" s="49">
        <v>0</v>
      </c>
      <c r="U11" s="49"/>
      <c r="V11" s="49">
        <v>0</v>
      </c>
      <c r="W11" s="49">
        <v>0</v>
      </c>
      <c r="X11" s="49"/>
      <c r="Y11" s="49">
        <v>200000</v>
      </c>
      <c r="Z11" s="49"/>
      <c r="AA11" s="142" t="s">
        <v>251</v>
      </c>
      <c r="AB11" s="49"/>
      <c r="AC11" s="49">
        <v>200036250000</v>
      </c>
      <c r="AD11" s="49"/>
      <c r="AE11" s="49">
        <v>212618455920</v>
      </c>
      <c r="AF11" s="294"/>
      <c r="AG11" s="291">
        <f>AE11/درآمدها!$J$5</f>
        <v>7.5546164094505028E-2</v>
      </c>
      <c r="AH11" s="49"/>
      <c r="AI11" s="49"/>
      <c r="AJ11" s="288"/>
    </row>
    <row r="12" spans="1:36" s="201" customFormat="1" ht="55.5" customHeight="1">
      <c r="A12" s="289" t="s">
        <v>119</v>
      </c>
      <c r="B12" s="197"/>
      <c r="C12" s="290" t="s">
        <v>93</v>
      </c>
      <c r="D12" s="292"/>
      <c r="E12" s="290" t="s">
        <v>93</v>
      </c>
      <c r="F12" s="292"/>
      <c r="G12" s="290" t="s">
        <v>121</v>
      </c>
      <c r="H12" s="292"/>
      <c r="I12" s="290" t="s">
        <v>122</v>
      </c>
      <c r="J12" s="290"/>
      <c r="K12" s="88">
        <v>1000000</v>
      </c>
      <c r="L12" s="275"/>
      <c r="M12" s="49">
        <v>176000</v>
      </c>
      <c r="N12" s="200"/>
      <c r="O12" s="49">
        <v>178017411104</v>
      </c>
      <c r="P12" s="49"/>
      <c r="Q12" s="49">
        <v>181715042181</v>
      </c>
      <c r="R12" s="49"/>
      <c r="S12" s="49">
        <v>0</v>
      </c>
      <c r="T12" s="49">
        <v>0</v>
      </c>
      <c r="U12" s="49"/>
      <c r="V12" s="49">
        <v>0</v>
      </c>
      <c r="W12" s="49">
        <v>0</v>
      </c>
      <c r="X12" s="49"/>
      <c r="Y12" s="49">
        <v>176000</v>
      </c>
      <c r="Z12" s="49"/>
      <c r="AA12" s="142" t="s">
        <v>252</v>
      </c>
      <c r="AB12" s="49"/>
      <c r="AC12" s="49">
        <v>178017411104</v>
      </c>
      <c r="AD12" s="49"/>
      <c r="AE12" s="49">
        <v>182369995448</v>
      </c>
      <c r="AF12" s="294"/>
      <c r="AG12" s="291">
        <f>AE12/درآمدها!$J$5</f>
        <v>6.4798483943522861E-2</v>
      </c>
      <c r="AH12" s="49"/>
      <c r="AI12" s="49"/>
      <c r="AJ12" s="288"/>
    </row>
    <row r="13" spans="1:36" s="201" customFormat="1" ht="55.5" customHeight="1" thickBot="1">
      <c r="A13" s="295" t="s">
        <v>245</v>
      </c>
      <c r="C13" s="275" t="s">
        <v>93</v>
      </c>
      <c r="E13" s="275" t="s">
        <v>93</v>
      </c>
      <c r="G13" s="290" t="s">
        <v>247</v>
      </c>
      <c r="H13" s="290"/>
      <c r="I13" s="290" t="s">
        <v>249</v>
      </c>
      <c r="K13" s="88">
        <v>1000000</v>
      </c>
      <c r="M13" s="49">
        <v>0</v>
      </c>
      <c r="O13" s="49">
        <v>0</v>
      </c>
      <c r="Q13" s="49">
        <v>0</v>
      </c>
      <c r="S13" s="49">
        <v>500000</v>
      </c>
      <c r="T13" s="49">
        <v>500000000000</v>
      </c>
      <c r="V13" s="49">
        <v>0</v>
      </c>
      <c r="W13" s="49">
        <v>0</v>
      </c>
      <c r="Y13" s="49">
        <v>500000</v>
      </c>
      <c r="AA13" s="142" t="s">
        <v>253</v>
      </c>
      <c r="AC13" s="49">
        <v>500000000000</v>
      </c>
      <c r="AE13" s="49">
        <v>499889375000</v>
      </c>
      <c r="AG13" s="291">
        <f>AE13/درآمدها!$J$5</f>
        <v>0.17761734083450847</v>
      </c>
      <c r="AH13" s="49"/>
      <c r="AI13" s="49"/>
      <c r="AJ13" s="288"/>
    </row>
    <row r="14" spans="1:36" s="301" customFormat="1" ht="32.25" thickBot="1">
      <c r="A14" s="296" t="s">
        <v>2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159">
        <f>SUM(M9:M13)</f>
        <v>1391000</v>
      </c>
      <c r="N14" s="159"/>
      <c r="O14" s="298">
        <f>SUM(O9:O13)</f>
        <v>1382103611104</v>
      </c>
      <c r="P14" s="272"/>
      <c r="Q14" s="298">
        <f>SUM(Q9:Q13)</f>
        <v>1400769203562</v>
      </c>
      <c r="R14" s="272"/>
      <c r="S14" s="299">
        <f>SUM(S9:S13)</f>
        <v>1150000</v>
      </c>
      <c r="T14" s="298">
        <f>SUM(T9:T13)</f>
        <v>1104000000000</v>
      </c>
      <c r="U14" s="272"/>
      <c r="V14" s="299">
        <f>SUM(V9:V13)</f>
        <v>1015000</v>
      </c>
      <c r="W14" s="298">
        <f>SUM(W9:X13)</f>
        <v>1004049950000</v>
      </c>
      <c r="X14" s="272"/>
      <c r="Y14" s="299">
        <f>SUM(Y9:Y13)</f>
        <v>1526000</v>
      </c>
      <c r="Z14" s="272"/>
      <c r="AA14" s="272"/>
      <c r="AB14" s="272"/>
      <c r="AC14" s="298">
        <f>SUM(AC9:AC13)</f>
        <v>1482053661104</v>
      </c>
      <c r="AD14" s="272"/>
      <c r="AE14" s="298">
        <f>SUM(AE9:AE13)</f>
        <v>1496428275585</v>
      </c>
      <c r="AF14" s="272"/>
      <c r="AG14" s="300">
        <f>SUM(AG9:AG13)</f>
        <v>0.53170086093343505</v>
      </c>
      <c r="AH14" s="49"/>
      <c r="AI14" s="49"/>
      <c r="AJ14" s="288"/>
    </row>
    <row r="15" spans="1:36" s="302" customFormat="1" ht="32.25" thickTop="1">
      <c r="M15" s="272"/>
      <c r="N15" s="272"/>
      <c r="P15" s="272"/>
      <c r="R15" s="272"/>
      <c r="S15" s="272"/>
      <c r="U15" s="272"/>
      <c r="V15" s="272"/>
      <c r="X15" s="272"/>
      <c r="Y15" s="272"/>
      <c r="Z15" s="272"/>
      <c r="AA15" s="272"/>
      <c r="AB15" s="272"/>
      <c r="AD15" s="272"/>
      <c r="AF15" s="272"/>
      <c r="AH15" s="49"/>
      <c r="AI15" s="49"/>
    </row>
    <row r="16" spans="1:36" s="49" customFormat="1">
      <c r="M16" s="303"/>
      <c r="O16" s="303"/>
      <c r="Q16" s="303"/>
      <c r="S16" s="303"/>
      <c r="T16" s="303"/>
      <c r="V16" s="303"/>
      <c r="W16" s="303"/>
      <c r="Y16" s="303"/>
      <c r="AC16" s="303"/>
      <c r="AE16" s="303"/>
    </row>
    <row r="17" s="49" customFormat="1"/>
    <row r="18" s="49" customFormat="1"/>
    <row r="19" s="49" customFormat="1"/>
    <row r="20" s="49" customFormat="1"/>
    <row r="21" s="49" customFormat="1"/>
    <row r="22" s="49" customFormat="1"/>
    <row r="23" s="49" customFormat="1"/>
    <row r="24" s="49" customFormat="1"/>
    <row r="25" s="49" customFormat="1"/>
    <row r="26" s="49" customFormat="1"/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1"/>
  <sheetViews>
    <sheetView rightToLeft="1" view="pageBreakPreview" zoomScale="80" zoomScaleNormal="56" zoomScaleSheetLayoutView="80" workbookViewId="0">
      <selection activeCell="K10" sqref="K10"/>
    </sheetView>
  </sheetViews>
  <sheetFormatPr defaultRowHeight="15"/>
  <cols>
    <col min="1" max="1" width="29" style="314" customWidth="1"/>
    <col min="2" max="2" width="2" style="314" customWidth="1"/>
    <col min="3" max="3" width="15.7109375" style="314" customWidth="1"/>
    <col min="4" max="4" width="2" style="314" customWidth="1"/>
    <col min="5" max="5" width="15.7109375" style="314" customWidth="1"/>
    <col min="6" max="6" width="2" style="314" customWidth="1"/>
    <col min="7" max="7" width="15.7109375" style="314" customWidth="1"/>
    <col min="8" max="8" width="2" style="314" customWidth="1"/>
    <col min="9" max="9" width="15.7109375" style="314" customWidth="1"/>
    <col min="10" max="10" width="2" style="314" customWidth="1"/>
    <col min="11" max="11" width="21.42578125" style="314" customWidth="1"/>
    <col min="12" max="12" width="2" style="314" customWidth="1"/>
    <col min="13" max="13" width="41.5703125" style="314" customWidth="1"/>
    <col min="14" max="14" width="20.140625" style="314" bestFit="1" customWidth="1"/>
    <col min="15" max="15" width="17.28515625" style="165" customWidth="1"/>
    <col min="16" max="16" width="16.7109375" style="314" bestFit="1" customWidth="1"/>
    <col min="17" max="16384" width="9.140625" style="314"/>
  </cols>
  <sheetData>
    <row r="1" spans="1:33" s="179" customFormat="1" ht="24.75">
      <c r="A1" s="283" t="s">
        <v>89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304"/>
      <c r="O1" s="160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</row>
    <row r="2" spans="1:33" s="179" customFormat="1" ht="24.75">
      <c r="A2" s="283" t="s">
        <v>50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304"/>
      <c r="O2" s="160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</row>
    <row r="3" spans="1:33" s="179" customFormat="1" ht="24.75">
      <c r="A3" s="283" t="str">
        <f>' سهام'!A3:W3</f>
        <v>برای ماه منتهی به 1402/06/31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304"/>
      <c r="O3" s="160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</row>
    <row r="5" spans="1:33" s="307" customFormat="1" ht="22.5">
      <c r="A5" s="305" t="s">
        <v>101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161"/>
      <c r="O5" s="162"/>
      <c r="P5" s="163"/>
    </row>
    <row r="6" spans="1:33" s="307" customFormat="1" ht="22.5">
      <c r="A6" s="305" t="s">
        <v>108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161"/>
      <c r="O6" s="162"/>
      <c r="P6" s="163"/>
    </row>
    <row r="7" spans="1:33" s="307" customFormat="1" ht="47.1" customHeight="1" thickBot="1">
      <c r="A7" s="308"/>
    </row>
    <row r="8" spans="1:33" ht="42">
      <c r="A8" s="309" t="s">
        <v>95</v>
      </c>
      <c r="B8" s="310"/>
      <c r="C8" s="311" t="s">
        <v>96</v>
      </c>
      <c r="D8" s="310"/>
      <c r="E8" s="311" t="s">
        <v>102</v>
      </c>
      <c r="F8" s="310"/>
      <c r="G8" s="311" t="s">
        <v>97</v>
      </c>
      <c r="H8" s="310"/>
      <c r="I8" s="312" t="s">
        <v>98</v>
      </c>
      <c r="J8" s="310"/>
      <c r="K8" s="311" t="s">
        <v>99</v>
      </c>
      <c r="L8" s="310"/>
      <c r="M8" s="313" t="s">
        <v>100</v>
      </c>
      <c r="N8" s="307"/>
      <c r="O8" s="307"/>
      <c r="P8" s="307"/>
      <c r="Q8" s="307"/>
    </row>
    <row r="9" spans="1:33" ht="112.5" customHeight="1">
      <c r="A9" s="315" t="s">
        <v>123</v>
      </c>
      <c r="B9" s="316"/>
      <c r="C9" s="317">
        <v>176000</v>
      </c>
      <c r="D9" s="316"/>
      <c r="E9" s="317">
        <v>1020000</v>
      </c>
      <c r="F9" s="316"/>
      <c r="G9" s="318">
        <v>1036381</v>
      </c>
      <c r="H9" s="316"/>
      <c r="I9" s="319">
        <f>(G9/E9)-1</f>
        <v>1.6059803921568694E-2</v>
      </c>
      <c r="J9" s="316"/>
      <c r="K9" s="317">
        <f>اوراق!AE12</f>
        <v>182369995448</v>
      </c>
      <c r="L9" s="320"/>
      <c r="M9" s="321" t="s">
        <v>304</v>
      </c>
      <c r="N9" s="164">
        <f>C9*G9</f>
        <v>182403056000</v>
      </c>
      <c r="O9" s="322">
        <f>N9-K9</f>
        <v>33060552</v>
      </c>
      <c r="P9" s="203">
        <f>O9/N9</f>
        <v>1.8124998958350786E-4</v>
      </c>
      <c r="Q9" s="307"/>
    </row>
    <row r="10" spans="1:33" ht="112.5" customHeight="1">
      <c r="A10" s="323" t="s">
        <v>254</v>
      </c>
      <c r="B10" s="316"/>
      <c r="C10" s="324">
        <v>200000</v>
      </c>
      <c r="D10" s="316"/>
      <c r="E10" s="324">
        <v>1000000</v>
      </c>
      <c r="F10" s="316"/>
      <c r="G10" s="325">
        <v>1063285</v>
      </c>
      <c r="H10" s="316"/>
      <c r="I10" s="319">
        <f t="shared" ref="I10:I11" si="0">(G10/E10)-1</f>
        <v>6.3285000000000036E-2</v>
      </c>
      <c r="J10" s="316"/>
      <c r="K10" s="324">
        <f>اوراق!AE11</f>
        <v>212618455920</v>
      </c>
      <c r="L10" s="320"/>
      <c r="M10" s="326" t="s">
        <v>304</v>
      </c>
      <c r="N10" s="164">
        <f t="shared" ref="N10:N11" si="1">C10*G10</f>
        <v>212657000000</v>
      </c>
      <c r="O10" s="322">
        <f t="shared" ref="O10:O11" si="2">N10-K10</f>
        <v>38544080</v>
      </c>
      <c r="P10" s="203">
        <f t="shared" ref="P10:P11" si="3">O10/N10</f>
        <v>1.8124999412198986E-4</v>
      </c>
      <c r="Q10" s="307"/>
    </row>
    <row r="11" spans="1:33" ht="113.25" thickBot="1">
      <c r="A11" s="323" t="s">
        <v>255</v>
      </c>
      <c r="B11" s="327"/>
      <c r="C11" s="328">
        <v>650000</v>
      </c>
      <c r="D11" s="327"/>
      <c r="E11" s="328">
        <v>929200</v>
      </c>
      <c r="F11" s="327"/>
      <c r="G11" s="325">
        <v>925630</v>
      </c>
      <c r="H11" s="327"/>
      <c r="I11" s="319">
        <f t="shared" si="0"/>
        <v>-3.8420146362462271E-3</v>
      </c>
      <c r="J11" s="327"/>
      <c r="K11" s="324">
        <f>اوراق!AE10</f>
        <v>601550449217</v>
      </c>
      <c r="L11" s="329"/>
      <c r="M11" s="330" t="s">
        <v>304</v>
      </c>
      <c r="N11" s="164">
        <f t="shared" si="1"/>
        <v>601659500000</v>
      </c>
      <c r="O11" s="322">
        <f t="shared" si="2"/>
        <v>109050783</v>
      </c>
      <c r="P11" s="203">
        <f t="shared" si="3"/>
        <v>1.8124999771465422E-4</v>
      </c>
      <c r="Q11" s="307"/>
    </row>
    <row r="12" spans="1:33" ht="22.5">
      <c r="C12" s="331"/>
      <c r="L12" s="320"/>
    </row>
    <row r="13" spans="1:33">
      <c r="C13" s="331"/>
    </row>
    <row r="15" spans="1:33" ht="22.5">
      <c r="E15" s="332"/>
      <c r="G15" s="333"/>
      <c r="N15" s="161"/>
    </row>
    <row r="16" spans="1:33" ht="22.5">
      <c r="E16" s="334"/>
      <c r="N16" s="161"/>
    </row>
    <row r="17" spans="11:14" ht="22.5">
      <c r="N17" s="161"/>
    </row>
    <row r="19" spans="11:14">
      <c r="K19" s="331"/>
      <c r="M19" s="177"/>
    </row>
    <row r="20" spans="11:14">
      <c r="K20" s="331"/>
    </row>
    <row r="21" spans="11:14">
      <c r="M21" s="331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97"/>
  <sheetViews>
    <sheetView rightToLeft="1" view="pageBreakPreview" zoomScaleNormal="100" zoomScaleSheetLayoutView="100" workbookViewId="0">
      <selection activeCell="T89" sqref="T2:T89"/>
    </sheetView>
  </sheetViews>
  <sheetFormatPr defaultColWidth="9.140625" defaultRowHeight="15"/>
  <cols>
    <col min="1" max="1" width="39.140625" style="335" bestFit="1" customWidth="1"/>
    <col min="2" max="2" width="0.7109375" style="335" customWidth="1"/>
    <col min="3" max="3" width="24.28515625" style="335" customWidth="1"/>
    <col min="4" max="4" width="0.7109375" style="335" customWidth="1"/>
    <col min="5" max="5" width="17" style="335" customWidth="1"/>
    <col min="6" max="6" width="0.7109375" style="335" customWidth="1"/>
    <col min="7" max="7" width="15.85546875" style="335" bestFit="1" customWidth="1"/>
    <col min="8" max="8" width="0.7109375" style="335" customWidth="1"/>
    <col min="9" max="9" width="9.85546875" style="364" customWidth="1"/>
    <col min="10" max="10" width="0.5703125" style="335" customWidth="1"/>
    <col min="11" max="11" width="21.28515625" style="95" customWidth="1"/>
    <col min="12" max="12" width="0.7109375" style="335" customWidth="1"/>
    <col min="13" max="13" width="21.85546875" style="335" customWidth="1"/>
    <col min="14" max="14" width="0.42578125" style="335" customWidth="1"/>
    <col min="15" max="15" width="22.140625" style="335" customWidth="1"/>
    <col min="16" max="16" width="0.42578125" style="335" customWidth="1"/>
    <col min="17" max="17" width="20.140625" style="335" bestFit="1" customWidth="1"/>
    <col min="18" max="18" width="0.5703125" style="335" customWidth="1"/>
    <col min="19" max="19" width="12.140625" style="335" customWidth="1"/>
    <col min="20" max="20" width="13.42578125" style="335" bestFit="1" customWidth="1"/>
    <col min="21" max="21" width="12.28515625" style="335" bestFit="1" customWidth="1"/>
    <col min="22" max="16384" width="9.140625" style="335"/>
  </cols>
  <sheetData>
    <row r="1" spans="1:23" ht="18.75">
      <c r="A1" s="265" t="s">
        <v>89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</row>
    <row r="2" spans="1:23" ht="18.75">
      <c r="A2" s="265" t="s">
        <v>50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</row>
    <row r="3" spans="1:23" ht="18.75">
      <c r="A3" s="265" t="str">
        <f>' سهام'!A3:W3</f>
        <v>برای ماه منتهی به 1402/06/31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</row>
    <row r="4" spans="1:23" ht="18.75">
      <c r="A4" s="244" t="s">
        <v>51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</row>
    <row r="5" spans="1:23" ht="18.75" thickBot="1">
      <c r="A5" s="171"/>
      <c r="B5" s="171"/>
      <c r="C5" s="336"/>
      <c r="D5" s="336"/>
      <c r="E5" s="336"/>
      <c r="F5" s="336"/>
      <c r="G5" s="336"/>
      <c r="H5" s="336"/>
      <c r="I5" s="337"/>
      <c r="J5" s="336"/>
      <c r="K5" s="89"/>
      <c r="L5" s="336"/>
      <c r="M5" s="336"/>
      <c r="N5" s="336"/>
      <c r="O5" s="336"/>
      <c r="P5" s="336"/>
      <c r="Q5" s="336"/>
      <c r="R5" s="336"/>
      <c r="S5" s="336"/>
    </row>
    <row r="6" spans="1:23" ht="18.75" customHeight="1" thickBot="1">
      <c r="A6" s="338"/>
      <c r="B6" s="171"/>
      <c r="C6" s="339" t="s">
        <v>11</v>
      </c>
      <c r="D6" s="339"/>
      <c r="E6" s="339"/>
      <c r="F6" s="339"/>
      <c r="G6" s="339"/>
      <c r="H6" s="339"/>
      <c r="I6" s="339"/>
      <c r="J6" s="340"/>
      <c r="K6" s="90" t="s">
        <v>205</v>
      </c>
      <c r="L6" s="206"/>
      <c r="M6" s="341" t="s">
        <v>7</v>
      </c>
      <c r="N6" s="341"/>
      <c r="O6" s="341"/>
      <c r="P6" s="342"/>
      <c r="Q6" s="343" t="s">
        <v>240</v>
      </c>
      <c r="R6" s="343"/>
      <c r="S6" s="343"/>
    </row>
    <row r="7" spans="1:23" ht="24" customHeight="1">
      <c r="A7" s="344" t="s">
        <v>8</v>
      </c>
      <c r="B7" s="345"/>
      <c r="C7" s="346" t="s">
        <v>9</v>
      </c>
      <c r="D7" s="345"/>
      <c r="E7" s="346" t="s">
        <v>10</v>
      </c>
      <c r="F7" s="345"/>
      <c r="G7" s="346" t="s">
        <v>34</v>
      </c>
      <c r="H7" s="345"/>
      <c r="I7" s="347" t="s">
        <v>87</v>
      </c>
      <c r="J7" s="344"/>
      <c r="K7" s="229" t="s">
        <v>6</v>
      </c>
      <c r="L7" s="345"/>
      <c r="M7" s="348" t="s">
        <v>36</v>
      </c>
      <c r="N7" s="349"/>
      <c r="O7" s="348" t="s">
        <v>37</v>
      </c>
      <c r="P7" s="171"/>
      <c r="Q7" s="350" t="s">
        <v>6</v>
      </c>
      <c r="R7" s="344"/>
      <c r="S7" s="351" t="s">
        <v>22</v>
      </c>
    </row>
    <row r="8" spans="1:23" ht="18.75" thickBot="1">
      <c r="A8" s="352"/>
      <c r="B8" s="345"/>
      <c r="C8" s="353"/>
      <c r="D8" s="354"/>
      <c r="E8" s="353"/>
      <c r="F8" s="354"/>
      <c r="G8" s="353"/>
      <c r="H8" s="354"/>
      <c r="I8" s="355"/>
      <c r="J8" s="344"/>
      <c r="K8" s="230"/>
      <c r="L8" s="345"/>
      <c r="M8" s="356"/>
      <c r="N8" s="171"/>
      <c r="O8" s="356"/>
      <c r="P8" s="171"/>
      <c r="Q8" s="357"/>
      <c r="R8" s="344"/>
      <c r="S8" s="353"/>
    </row>
    <row r="9" spans="1:23" s="171" customFormat="1" ht="19.5" customHeight="1">
      <c r="A9" s="358" t="s">
        <v>226</v>
      </c>
      <c r="C9" s="359" t="s">
        <v>274</v>
      </c>
      <c r="E9" s="176" t="s">
        <v>90</v>
      </c>
      <c r="G9" s="359" t="s">
        <v>91</v>
      </c>
      <c r="I9" s="204"/>
      <c r="J9" s="92"/>
      <c r="K9" s="92">
        <v>11263286935</v>
      </c>
      <c r="L9" s="92"/>
      <c r="M9" s="91">
        <v>2398637705616</v>
      </c>
      <c r="N9" s="92">
        <v>9918000000</v>
      </c>
      <c r="O9" s="91">
        <v>2347609015750</v>
      </c>
      <c r="P9" s="92"/>
      <c r="Q9" s="92">
        <f>K9+M9-O9</f>
        <v>62291976801</v>
      </c>
      <c r="S9" s="93">
        <f>Q9/درآمدها!$J$5</f>
        <v>2.213316751274922E-2</v>
      </c>
      <c r="T9" s="177"/>
      <c r="U9" s="190"/>
      <c r="W9" s="190"/>
    </row>
    <row r="10" spans="1:23" s="171" customFormat="1" ht="18">
      <c r="A10" s="358" t="s">
        <v>273</v>
      </c>
      <c r="C10" s="359" t="s">
        <v>275</v>
      </c>
      <c r="E10" s="176" t="s">
        <v>106</v>
      </c>
      <c r="G10" s="359" t="s">
        <v>91</v>
      </c>
      <c r="I10" s="207">
        <v>0.22500000000000001</v>
      </c>
      <c r="J10" s="92"/>
      <c r="K10" s="92">
        <v>0</v>
      </c>
      <c r="L10" s="92"/>
      <c r="M10" s="91">
        <v>108000000000</v>
      </c>
      <c r="N10" s="92">
        <v>64000000000</v>
      </c>
      <c r="O10" s="91">
        <v>0</v>
      </c>
      <c r="P10" s="92"/>
      <c r="Q10" s="92">
        <f t="shared" ref="Q10:Q88" si="0">K10+M10-O10</f>
        <v>108000000000</v>
      </c>
      <c r="S10" s="93">
        <f>Q10/درآمدها!$J$5</f>
        <v>3.8373835831431537E-2</v>
      </c>
      <c r="T10" s="177"/>
      <c r="U10" s="190"/>
      <c r="V10" s="177"/>
      <c r="W10" s="190"/>
    </row>
    <row r="11" spans="1:23" s="171" customFormat="1" ht="18">
      <c r="A11" s="358" t="s">
        <v>256</v>
      </c>
      <c r="C11" s="359" t="s">
        <v>174</v>
      </c>
      <c r="E11" s="176" t="s">
        <v>106</v>
      </c>
      <c r="G11" s="359" t="s">
        <v>91</v>
      </c>
      <c r="I11" s="207">
        <v>0.22500000000000001</v>
      </c>
      <c r="J11" s="92"/>
      <c r="K11" s="92">
        <v>0</v>
      </c>
      <c r="L11" s="92"/>
      <c r="M11" s="91">
        <v>0</v>
      </c>
      <c r="N11" s="92"/>
      <c r="O11" s="91">
        <v>0</v>
      </c>
      <c r="P11" s="92"/>
      <c r="Q11" s="92">
        <f t="shared" si="0"/>
        <v>0</v>
      </c>
      <c r="S11" s="93">
        <f>Q11/درآمدها!$J$5</f>
        <v>0</v>
      </c>
      <c r="T11" s="177"/>
      <c r="U11" s="190"/>
      <c r="V11" s="177"/>
      <c r="W11" s="190"/>
    </row>
    <row r="12" spans="1:23" s="171" customFormat="1" ht="18">
      <c r="A12" s="358" t="s">
        <v>259</v>
      </c>
      <c r="C12" s="359" t="s">
        <v>179</v>
      </c>
      <c r="E12" s="176" t="s">
        <v>106</v>
      </c>
      <c r="G12" s="359" t="s">
        <v>91</v>
      </c>
      <c r="I12" s="207">
        <v>0.22500000000000001</v>
      </c>
      <c r="J12" s="92"/>
      <c r="K12" s="92">
        <v>0</v>
      </c>
      <c r="L12" s="92"/>
      <c r="M12" s="91">
        <v>0</v>
      </c>
      <c r="N12" s="92"/>
      <c r="O12" s="91">
        <v>0</v>
      </c>
      <c r="P12" s="92"/>
      <c r="Q12" s="92">
        <f t="shared" si="0"/>
        <v>0</v>
      </c>
      <c r="S12" s="93">
        <f>Q12/درآمدها!$J$5</f>
        <v>0</v>
      </c>
      <c r="T12" s="177"/>
      <c r="U12" s="190"/>
      <c r="V12" s="177"/>
      <c r="W12" s="190"/>
    </row>
    <row r="13" spans="1:23" s="171" customFormat="1" ht="18">
      <c r="A13" s="358" t="s">
        <v>265</v>
      </c>
      <c r="C13" s="359" t="s">
        <v>180</v>
      </c>
      <c r="E13" s="176" t="s">
        <v>106</v>
      </c>
      <c r="G13" s="359" t="s">
        <v>91</v>
      </c>
      <c r="I13" s="207">
        <v>0.22500000000000001</v>
      </c>
      <c r="J13" s="92"/>
      <c r="K13" s="92">
        <v>0</v>
      </c>
      <c r="L13" s="92"/>
      <c r="M13" s="91">
        <v>0</v>
      </c>
      <c r="N13" s="92"/>
      <c r="O13" s="91">
        <v>0</v>
      </c>
      <c r="P13" s="92"/>
      <c r="Q13" s="92">
        <f t="shared" si="0"/>
        <v>0</v>
      </c>
      <c r="S13" s="93">
        <f>Q13/درآمدها!$J$5</f>
        <v>0</v>
      </c>
      <c r="T13" s="177"/>
      <c r="U13" s="190"/>
      <c r="V13" s="177"/>
      <c r="W13" s="190"/>
    </row>
    <row r="14" spans="1:23" s="171" customFormat="1" ht="18">
      <c r="A14" s="358" t="s">
        <v>178</v>
      </c>
      <c r="C14" s="359" t="s">
        <v>181</v>
      </c>
      <c r="E14" s="176" t="s">
        <v>106</v>
      </c>
      <c r="G14" s="359" t="s">
        <v>91</v>
      </c>
      <c r="I14" s="207">
        <v>0.22500000000000001</v>
      </c>
      <c r="J14" s="92"/>
      <c r="K14" s="92">
        <v>0</v>
      </c>
      <c r="L14" s="92"/>
      <c r="M14" s="91">
        <v>0</v>
      </c>
      <c r="N14" s="92"/>
      <c r="O14" s="91">
        <v>0</v>
      </c>
      <c r="P14" s="92"/>
      <c r="Q14" s="92">
        <f t="shared" si="0"/>
        <v>0</v>
      </c>
      <c r="S14" s="93">
        <f>Q14/درآمدها!$J$5</f>
        <v>0</v>
      </c>
      <c r="T14" s="177"/>
      <c r="U14" s="190"/>
      <c r="V14" s="177"/>
      <c r="W14" s="190"/>
    </row>
    <row r="15" spans="1:23" s="171" customFormat="1" ht="18">
      <c r="A15" s="358" t="s">
        <v>182</v>
      </c>
      <c r="C15" s="359" t="s">
        <v>183</v>
      </c>
      <c r="E15" s="176" t="s">
        <v>106</v>
      </c>
      <c r="G15" s="359" t="s">
        <v>91</v>
      </c>
      <c r="I15" s="207">
        <v>0.22500000000000001</v>
      </c>
      <c r="J15" s="92"/>
      <c r="K15" s="92">
        <v>0</v>
      </c>
      <c r="L15" s="92"/>
      <c r="M15" s="91">
        <v>0</v>
      </c>
      <c r="N15" s="92"/>
      <c r="O15" s="91">
        <v>0</v>
      </c>
      <c r="P15" s="92"/>
      <c r="Q15" s="92">
        <f t="shared" si="0"/>
        <v>0</v>
      </c>
      <c r="S15" s="93">
        <f>Q15/درآمدها!$J$5</f>
        <v>0</v>
      </c>
      <c r="T15" s="177"/>
      <c r="U15" s="190"/>
      <c r="V15" s="177"/>
      <c r="W15" s="190"/>
    </row>
    <row r="16" spans="1:23" s="171" customFormat="1" ht="21.75" customHeight="1">
      <c r="A16" s="358" t="s">
        <v>198</v>
      </c>
      <c r="C16" s="359" t="s">
        <v>196</v>
      </c>
      <c r="E16" s="176" t="s">
        <v>106</v>
      </c>
      <c r="G16" s="359" t="s">
        <v>91</v>
      </c>
      <c r="I16" s="207">
        <v>0.22500000000000001</v>
      </c>
      <c r="J16" s="92"/>
      <c r="K16" s="92">
        <v>0</v>
      </c>
      <c r="L16" s="92"/>
      <c r="M16" s="91">
        <v>0</v>
      </c>
      <c r="N16" s="92">
        <v>0</v>
      </c>
      <c r="O16" s="91">
        <v>0</v>
      </c>
      <c r="P16" s="92"/>
      <c r="Q16" s="92">
        <f t="shared" si="0"/>
        <v>0</v>
      </c>
      <c r="S16" s="93">
        <f>Q16/درآمدها!$J$5</f>
        <v>0</v>
      </c>
      <c r="T16" s="177"/>
      <c r="U16" s="190"/>
      <c r="W16" s="190"/>
    </row>
    <row r="17" spans="1:23" s="171" customFormat="1" ht="21.75" customHeight="1">
      <c r="A17" s="358" t="s">
        <v>199</v>
      </c>
      <c r="C17" s="359" t="s">
        <v>197</v>
      </c>
      <c r="E17" s="176" t="s">
        <v>106</v>
      </c>
      <c r="G17" s="359" t="s">
        <v>91</v>
      </c>
      <c r="I17" s="207">
        <v>0.22500000000000001</v>
      </c>
      <c r="J17" s="92"/>
      <c r="K17" s="91">
        <v>0</v>
      </c>
      <c r="L17" s="92"/>
      <c r="M17" s="91">
        <v>0</v>
      </c>
      <c r="N17" s="92"/>
      <c r="O17" s="91">
        <v>0</v>
      </c>
      <c r="P17" s="92"/>
      <c r="Q17" s="92">
        <f t="shared" si="0"/>
        <v>0</v>
      </c>
      <c r="S17" s="93">
        <f>Q17/درآمدها!$J$5</f>
        <v>0</v>
      </c>
      <c r="T17" s="177"/>
      <c r="U17" s="190"/>
      <c r="W17" s="190"/>
    </row>
    <row r="18" spans="1:23" s="171" customFormat="1" ht="21.75" customHeight="1">
      <c r="A18" s="358" t="s">
        <v>215</v>
      </c>
      <c r="C18" s="359" t="s">
        <v>276</v>
      </c>
      <c r="E18" s="176" t="s">
        <v>106</v>
      </c>
      <c r="G18" s="359" t="s">
        <v>91</v>
      </c>
      <c r="I18" s="207">
        <v>0.22500000000000001</v>
      </c>
      <c r="J18" s="92"/>
      <c r="K18" s="91">
        <v>161885000000</v>
      </c>
      <c r="L18" s="92"/>
      <c r="M18" s="91">
        <v>0</v>
      </c>
      <c r="N18" s="92"/>
      <c r="O18" s="91">
        <v>134640000000</v>
      </c>
      <c r="P18" s="92"/>
      <c r="Q18" s="92">
        <f t="shared" si="0"/>
        <v>27245000000</v>
      </c>
      <c r="S18" s="93">
        <f>Q18/درآمدها!$J$5</f>
        <v>9.6805107150680757E-3</v>
      </c>
      <c r="T18" s="177"/>
      <c r="U18" s="190"/>
      <c r="W18" s="190"/>
    </row>
    <row r="19" spans="1:23" s="171" customFormat="1" ht="21.75" customHeight="1">
      <c r="A19" s="358" t="s">
        <v>216</v>
      </c>
      <c r="C19" s="359" t="s">
        <v>218</v>
      </c>
      <c r="E19" s="176" t="s">
        <v>106</v>
      </c>
      <c r="G19" s="359" t="s">
        <v>91</v>
      </c>
      <c r="I19" s="207">
        <v>0.22500000000000001</v>
      </c>
      <c r="J19" s="92"/>
      <c r="K19" s="91">
        <v>51660000000</v>
      </c>
      <c r="L19" s="92"/>
      <c r="M19" s="91">
        <v>0</v>
      </c>
      <c r="N19" s="92"/>
      <c r="O19" s="91">
        <v>0</v>
      </c>
      <c r="P19" s="92"/>
      <c r="Q19" s="92">
        <f t="shared" si="0"/>
        <v>51660000000</v>
      </c>
      <c r="S19" s="93">
        <f>Q19/درآمدها!$J$5</f>
        <v>1.8355484806034751E-2</v>
      </c>
      <c r="T19" s="177"/>
      <c r="U19" s="190"/>
      <c r="W19" s="190"/>
    </row>
    <row r="20" spans="1:23" s="171" customFormat="1" ht="21.75" customHeight="1">
      <c r="A20" s="358" t="s">
        <v>217</v>
      </c>
      <c r="C20" s="359" t="s">
        <v>219</v>
      </c>
      <c r="E20" s="176" t="s">
        <v>106</v>
      </c>
      <c r="G20" s="359" t="s">
        <v>91</v>
      </c>
      <c r="I20" s="207">
        <v>0.22500000000000001</v>
      </c>
      <c r="J20" s="92"/>
      <c r="K20" s="91">
        <v>10633000000</v>
      </c>
      <c r="L20" s="92"/>
      <c r="M20" s="91">
        <v>0</v>
      </c>
      <c r="N20" s="92"/>
      <c r="O20" s="91">
        <v>0</v>
      </c>
      <c r="P20" s="92"/>
      <c r="Q20" s="92">
        <f t="shared" si="0"/>
        <v>10633000000</v>
      </c>
      <c r="S20" s="93">
        <f>Q20/درآمدها!$J$5</f>
        <v>3.7780462629223291E-3</v>
      </c>
      <c r="T20" s="177"/>
      <c r="U20" s="190"/>
      <c r="W20" s="190"/>
    </row>
    <row r="21" spans="1:23" s="171" customFormat="1" ht="21.75" customHeight="1">
      <c r="A21" s="358" t="s">
        <v>262</v>
      </c>
      <c r="C21" s="359" t="s">
        <v>277</v>
      </c>
      <c r="E21" s="176" t="s">
        <v>106</v>
      </c>
      <c r="G21" s="359" t="s">
        <v>91</v>
      </c>
      <c r="I21" s="207">
        <v>0.22500000000000001</v>
      </c>
      <c r="J21" s="92"/>
      <c r="K21" s="91">
        <v>0</v>
      </c>
      <c r="L21" s="92"/>
      <c r="M21" s="91">
        <v>0</v>
      </c>
      <c r="N21" s="92"/>
      <c r="O21" s="91">
        <v>0</v>
      </c>
      <c r="P21" s="92"/>
      <c r="Q21" s="92">
        <f t="shared" si="0"/>
        <v>0</v>
      </c>
      <c r="S21" s="93">
        <f>Q21/درآمدها!$J$5</f>
        <v>0</v>
      </c>
      <c r="T21" s="177"/>
      <c r="U21" s="190"/>
      <c r="W21" s="190"/>
    </row>
    <row r="22" spans="1:23" s="171" customFormat="1" ht="21.75" customHeight="1">
      <c r="A22" s="358" t="s">
        <v>260</v>
      </c>
      <c r="C22" s="359" t="s">
        <v>278</v>
      </c>
      <c r="E22" s="176" t="s">
        <v>106</v>
      </c>
      <c r="G22" s="359" t="s">
        <v>91</v>
      </c>
      <c r="I22" s="207">
        <v>0.22500000000000001</v>
      </c>
      <c r="J22" s="92"/>
      <c r="K22" s="91">
        <v>0</v>
      </c>
      <c r="L22" s="92"/>
      <c r="M22" s="91">
        <v>0</v>
      </c>
      <c r="N22" s="92"/>
      <c r="O22" s="91">
        <v>0</v>
      </c>
      <c r="P22" s="92"/>
      <c r="Q22" s="92">
        <f t="shared" si="0"/>
        <v>0</v>
      </c>
      <c r="S22" s="93">
        <f>Q22/درآمدها!$J$5</f>
        <v>0</v>
      </c>
      <c r="T22" s="177"/>
      <c r="U22" s="190"/>
      <c r="W22" s="190"/>
    </row>
    <row r="23" spans="1:23" s="171" customFormat="1" ht="21.75" customHeight="1">
      <c r="A23" s="358" t="s">
        <v>257</v>
      </c>
      <c r="C23" s="359" t="s">
        <v>233</v>
      </c>
      <c r="E23" s="176" t="s">
        <v>106</v>
      </c>
      <c r="G23" s="359" t="s">
        <v>91</v>
      </c>
      <c r="I23" s="207">
        <v>0.22500000000000001</v>
      </c>
      <c r="J23" s="92"/>
      <c r="K23" s="91">
        <v>0</v>
      </c>
      <c r="L23" s="92"/>
      <c r="M23" s="91">
        <v>0</v>
      </c>
      <c r="N23" s="92"/>
      <c r="O23" s="91">
        <v>0</v>
      </c>
      <c r="P23" s="92"/>
      <c r="Q23" s="92">
        <f t="shared" si="0"/>
        <v>0</v>
      </c>
      <c r="S23" s="93">
        <f>Q23/درآمدها!$J$5</f>
        <v>0</v>
      </c>
      <c r="T23" s="177"/>
      <c r="U23" s="190"/>
      <c r="W23" s="190"/>
    </row>
    <row r="24" spans="1:23" s="171" customFormat="1" ht="21.75" customHeight="1">
      <c r="A24" s="358" t="s">
        <v>270</v>
      </c>
      <c r="C24" s="359" t="s">
        <v>279</v>
      </c>
      <c r="E24" s="176" t="s">
        <v>106</v>
      </c>
      <c r="G24" s="359" t="s">
        <v>91</v>
      </c>
      <c r="I24" s="204" t="s">
        <v>91</v>
      </c>
      <c r="J24" s="92"/>
      <c r="K24" s="91">
        <v>0</v>
      </c>
      <c r="L24" s="92"/>
      <c r="M24" s="91">
        <v>74000000000</v>
      </c>
      <c r="N24" s="92"/>
      <c r="O24" s="91">
        <v>0</v>
      </c>
      <c r="P24" s="92"/>
      <c r="Q24" s="92">
        <f t="shared" si="0"/>
        <v>74000000000</v>
      </c>
      <c r="S24" s="93">
        <f>Q24/درآمدها!$J$5</f>
        <v>2.6293183810425311E-2</v>
      </c>
      <c r="T24" s="177"/>
      <c r="U24" s="190"/>
      <c r="W24" s="190"/>
    </row>
    <row r="25" spans="1:23" s="171" customFormat="1" ht="21.75" customHeight="1">
      <c r="A25" s="358" t="s">
        <v>220</v>
      </c>
      <c r="C25" s="359" t="s">
        <v>115</v>
      </c>
      <c r="E25" s="176" t="s">
        <v>90</v>
      </c>
      <c r="G25" s="359" t="s">
        <v>91</v>
      </c>
      <c r="I25" s="204" t="s">
        <v>91</v>
      </c>
      <c r="J25" s="92"/>
      <c r="K25" s="91">
        <v>2554794</v>
      </c>
      <c r="L25" s="92"/>
      <c r="M25" s="91">
        <v>323306091323</v>
      </c>
      <c r="N25" s="92"/>
      <c r="O25" s="91">
        <v>323072686282</v>
      </c>
      <c r="P25" s="92"/>
      <c r="Q25" s="92">
        <f t="shared" si="0"/>
        <v>235959835</v>
      </c>
      <c r="S25" s="93">
        <f>Q25/درآمدها!$J$5</f>
        <v>8.3839666399089565E-5</v>
      </c>
      <c r="T25" s="177"/>
      <c r="U25" s="190"/>
      <c r="W25" s="190"/>
    </row>
    <row r="26" spans="1:23" s="171" customFormat="1" ht="21.75" customHeight="1">
      <c r="A26" s="358" t="s">
        <v>131</v>
      </c>
      <c r="C26" s="359" t="s">
        <v>141</v>
      </c>
      <c r="E26" s="176" t="s">
        <v>106</v>
      </c>
      <c r="G26" s="359" t="s">
        <v>91</v>
      </c>
      <c r="I26" s="207">
        <v>0.22500000000000001</v>
      </c>
      <c r="J26" s="92"/>
      <c r="K26" s="91">
        <v>0</v>
      </c>
      <c r="L26" s="92"/>
      <c r="M26" s="91">
        <v>0</v>
      </c>
      <c r="N26" s="92"/>
      <c r="O26" s="91">
        <v>0</v>
      </c>
      <c r="P26" s="92"/>
      <c r="Q26" s="92">
        <f t="shared" si="0"/>
        <v>0</v>
      </c>
      <c r="S26" s="93">
        <f>Q26/درآمدها!$J$5</f>
        <v>0</v>
      </c>
      <c r="T26" s="177"/>
      <c r="U26" s="190"/>
      <c r="W26" s="190"/>
    </row>
    <row r="27" spans="1:23" s="171" customFormat="1" ht="21.75" customHeight="1">
      <c r="A27" s="358" t="s">
        <v>132</v>
      </c>
      <c r="C27" s="359" t="s">
        <v>142</v>
      </c>
      <c r="E27" s="176" t="s">
        <v>106</v>
      </c>
      <c r="G27" s="359" t="s">
        <v>91</v>
      </c>
      <c r="I27" s="207">
        <v>0.22500000000000001</v>
      </c>
      <c r="J27" s="92"/>
      <c r="K27" s="91">
        <v>0</v>
      </c>
      <c r="L27" s="92"/>
      <c r="M27" s="91">
        <v>0</v>
      </c>
      <c r="N27" s="92"/>
      <c r="O27" s="91">
        <v>0</v>
      </c>
      <c r="P27" s="92"/>
      <c r="Q27" s="92">
        <f t="shared" si="0"/>
        <v>0</v>
      </c>
      <c r="S27" s="93">
        <f>Q27/درآمدها!$J$5</f>
        <v>0</v>
      </c>
      <c r="T27" s="177"/>
      <c r="U27" s="190"/>
      <c r="W27" s="190"/>
    </row>
    <row r="28" spans="1:23" s="171" customFormat="1" ht="21.75" customHeight="1">
      <c r="A28" s="358" t="s">
        <v>133</v>
      </c>
      <c r="C28" s="359" t="s">
        <v>143</v>
      </c>
      <c r="E28" s="176" t="s">
        <v>106</v>
      </c>
      <c r="G28" s="359" t="s">
        <v>91</v>
      </c>
      <c r="I28" s="207">
        <v>0.22500000000000001</v>
      </c>
      <c r="J28" s="92"/>
      <c r="K28" s="91">
        <v>0</v>
      </c>
      <c r="L28" s="92"/>
      <c r="M28" s="91">
        <v>0</v>
      </c>
      <c r="N28" s="92"/>
      <c r="O28" s="91">
        <v>0</v>
      </c>
      <c r="P28" s="92"/>
      <c r="Q28" s="92">
        <f t="shared" si="0"/>
        <v>0</v>
      </c>
      <c r="S28" s="93">
        <f>Q28/درآمدها!$J$5</f>
        <v>0</v>
      </c>
      <c r="T28" s="177"/>
      <c r="U28" s="190"/>
      <c r="W28" s="190"/>
    </row>
    <row r="29" spans="1:23" s="171" customFormat="1" ht="21.75" customHeight="1">
      <c r="A29" s="358" t="s">
        <v>134</v>
      </c>
      <c r="C29" s="359" t="s">
        <v>144</v>
      </c>
      <c r="E29" s="176" t="s">
        <v>106</v>
      </c>
      <c r="G29" s="359" t="s">
        <v>91</v>
      </c>
      <c r="I29" s="207">
        <v>0.22500000000000001</v>
      </c>
      <c r="J29" s="92"/>
      <c r="K29" s="91">
        <v>0</v>
      </c>
      <c r="L29" s="92"/>
      <c r="M29" s="91">
        <v>0</v>
      </c>
      <c r="N29" s="92"/>
      <c r="O29" s="91">
        <v>0</v>
      </c>
      <c r="P29" s="92"/>
      <c r="Q29" s="92">
        <f t="shared" si="0"/>
        <v>0</v>
      </c>
      <c r="S29" s="93">
        <f>Q29/درآمدها!$J$5</f>
        <v>0</v>
      </c>
      <c r="T29" s="177"/>
      <c r="U29" s="190"/>
      <c r="W29" s="190"/>
    </row>
    <row r="30" spans="1:23" s="171" customFormat="1" ht="21.75" customHeight="1">
      <c r="A30" s="358" t="s">
        <v>135</v>
      </c>
      <c r="C30" s="359" t="s">
        <v>145</v>
      </c>
      <c r="E30" s="176" t="s">
        <v>106</v>
      </c>
      <c r="G30" s="359" t="s">
        <v>91</v>
      </c>
      <c r="I30" s="207">
        <v>0.22500000000000001</v>
      </c>
      <c r="J30" s="92"/>
      <c r="K30" s="91">
        <v>0</v>
      </c>
      <c r="L30" s="92"/>
      <c r="M30" s="91">
        <v>0</v>
      </c>
      <c r="N30" s="92"/>
      <c r="O30" s="91">
        <v>0</v>
      </c>
      <c r="P30" s="92"/>
      <c r="Q30" s="92">
        <f t="shared" si="0"/>
        <v>0</v>
      </c>
      <c r="S30" s="93">
        <f>Q30/درآمدها!$J$5</f>
        <v>0</v>
      </c>
      <c r="T30" s="177"/>
      <c r="U30" s="190"/>
      <c r="W30" s="190"/>
    </row>
    <row r="31" spans="1:23" s="171" customFormat="1" ht="21.75" customHeight="1">
      <c r="A31" s="358" t="s">
        <v>136</v>
      </c>
      <c r="C31" s="359" t="s">
        <v>146</v>
      </c>
      <c r="E31" s="176" t="s">
        <v>106</v>
      </c>
      <c r="G31" s="359" t="s">
        <v>91</v>
      </c>
      <c r="I31" s="207">
        <v>0.22500000000000001</v>
      </c>
      <c r="J31" s="92"/>
      <c r="K31" s="91">
        <v>0</v>
      </c>
      <c r="L31" s="92"/>
      <c r="M31" s="91">
        <v>0</v>
      </c>
      <c r="N31" s="92"/>
      <c r="O31" s="91">
        <v>0</v>
      </c>
      <c r="P31" s="92"/>
      <c r="Q31" s="92">
        <f t="shared" si="0"/>
        <v>0</v>
      </c>
      <c r="S31" s="93">
        <f>Q31/درآمدها!$J$5</f>
        <v>0</v>
      </c>
      <c r="T31" s="177"/>
      <c r="U31" s="190"/>
      <c r="W31" s="190"/>
    </row>
    <row r="32" spans="1:23" s="171" customFormat="1" ht="21.75" customHeight="1">
      <c r="A32" s="358" t="s">
        <v>137</v>
      </c>
      <c r="C32" s="359" t="s">
        <v>147</v>
      </c>
      <c r="E32" s="176" t="s">
        <v>106</v>
      </c>
      <c r="G32" s="359" t="s">
        <v>91</v>
      </c>
      <c r="I32" s="207">
        <v>0.22500000000000001</v>
      </c>
      <c r="J32" s="92"/>
      <c r="K32" s="91">
        <v>0</v>
      </c>
      <c r="L32" s="92"/>
      <c r="M32" s="91">
        <v>0</v>
      </c>
      <c r="N32" s="92"/>
      <c r="O32" s="91">
        <v>0</v>
      </c>
      <c r="P32" s="92"/>
      <c r="Q32" s="92">
        <f t="shared" si="0"/>
        <v>0</v>
      </c>
      <c r="S32" s="93">
        <f>Q32/درآمدها!$J$5</f>
        <v>0</v>
      </c>
      <c r="T32" s="177"/>
      <c r="U32" s="190"/>
      <c r="W32" s="190"/>
    </row>
    <row r="33" spans="1:23" s="171" customFormat="1" ht="21.75" customHeight="1">
      <c r="A33" s="358" t="s">
        <v>138</v>
      </c>
      <c r="C33" s="359" t="s">
        <v>148</v>
      </c>
      <c r="E33" s="176" t="s">
        <v>106</v>
      </c>
      <c r="G33" s="359" t="s">
        <v>91</v>
      </c>
      <c r="I33" s="207">
        <v>0.22500000000000001</v>
      </c>
      <c r="J33" s="92"/>
      <c r="K33" s="91">
        <v>0</v>
      </c>
      <c r="L33" s="92"/>
      <c r="M33" s="91">
        <v>0</v>
      </c>
      <c r="N33" s="92"/>
      <c r="O33" s="91">
        <v>0</v>
      </c>
      <c r="P33" s="92"/>
      <c r="Q33" s="92">
        <f t="shared" si="0"/>
        <v>0</v>
      </c>
      <c r="S33" s="93">
        <f>Q33/درآمدها!$J$5</f>
        <v>0</v>
      </c>
      <c r="T33" s="177"/>
      <c r="U33" s="190"/>
      <c r="W33" s="190"/>
    </row>
    <row r="34" spans="1:23" s="171" customFormat="1" ht="21.75" customHeight="1">
      <c r="A34" s="358" t="s">
        <v>139</v>
      </c>
      <c r="C34" s="359" t="s">
        <v>149</v>
      </c>
      <c r="E34" s="176" t="s">
        <v>106</v>
      </c>
      <c r="G34" s="359" t="s">
        <v>91</v>
      </c>
      <c r="I34" s="207">
        <v>0.22500000000000001</v>
      </c>
      <c r="J34" s="92"/>
      <c r="K34" s="91">
        <v>0</v>
      </c>
      <c r="L34" s="92"/>
      <c r="M34" s="91">
        <v>0</v>
      </c>
      <c r="N34" s="92"/>
      <c r="O34" s="91">
        <v>0</v>
      </c>
      <c r="P34" s="92"/>
      <c r="Q34" s="92">
        <f t="shared" si="0"/>
        <v>0</v>
      </c>
      <c r="S34" s="93">
        <f>Q34/درآمدها!$J$5</f>
        <v>0</v>
      </c>
      <c r="T34" s="177"/>
      <c r="U34" s="190"/>
      <c r="W34" s="190"/>
    </row>
    <row r="35" spans="1:23" s="171" customFormat="1" ht="21.75" customHeight="1">
      <c r="A35" s="358" t="s">
        <v>229</v>
      </c>
      <c r="C35" s="359" t="s">
        <v>234</v>
      </c>
      <c r="E35" s="176" t="s">
        <v>106</v>
      </c>
      <c r="G35" s="359" t="s">
        <v>91</v>
      </c>
      <c r="I35" s="207">
        <v>0.22500000000000001</v>
      </c>
      <c r="J35" s="92"/>
      <c r="K35" s="91">
        <v>0</v>
      </c>
      <c r="L35" s="92"/>
      <c r="M35" s="91">
        <v>0</v>
      </c>
      <c r="N35" s="92"/>
      <c r="O35" s="91">
        <v>0</v>
      </c>
      <c r="P35" s="92"/>
      <c r="Q35" s="92">
        <f t="shared" si="0"/>
        <v>0</v>
      </c>
      <c r="S35" s="93">
        <f>Q35/درآمدها!$J$5</f>
        <v>0</v>
      </c>
      <c r="T35" s="177"/>
      <c r="U35" s="190"/>
      <c r="W35" s="190"/>
    </row>
    <row r="36" spans="1:23" s="171" customFormat="1" ht="21.75" customHeight="1">
      <c r="A36" s="358" t="s">
        <v>230</v>
      </c>
      <c r="C36" s="359" t="s">
        <v>235</v>
      </c>
      <c r="E36" s="176" t="s">
        <v>106</v>
      </c>
      <c r="G36" s="359" t="s">
        <v>91</v>
      </c>
      <c r="I36" s="207">
        <v>0.22500000000000001</v>
      </c>
      <c r="J36" s="92"/>
      <c r="K36" s="91">
        <v>0</v>
      </c>
      <c r="L36" s="92"/>
      <c r="M36" s="91">
        <v>0</v>
      </c>
      <c r="N36" s="92"/>
      <c r="O36" s="91">
        <v>0</v>
      </c>
      <c r="P36" s="92"/>
      <c r="Q36" s="92">
        <f t="shared" si="0"/>
        <v>0</v>
      </c>
      <c r="S36" s="93">
        <f>Q36/درآمدها!$J$5</f>
        <v>0</v>
      </c>
      <c r="T36" s="177"/>
      <c r="U36" s="190"/>
      <c r="W36" s="190"/>
    </row>
    <row r="37" spans="1:23" s="171" customFormat="1" ht="21.75" customHeight="1">
      <c r="A37" s="358" t="s">
        <v>231</v>
      </c>
      <c r="C37" s="359" t="s">
        <v>236</v>
      </c>
      <c r="E37" s="176" t="s">
        <v>106</v>
      </c>
      <c r="G37" s="359" t="s">
        <v>91</v>
      </c>
      <c r="I37" s="207">
        <v>0.22500000000000001</v>
      </c>
      <c r="J37" s="92"/>
      <c r="K37" s="91">
        <v>0</v>
      </c>
      <c r="L37" s="92"/>
      <c r="M37" s="91">
        <v>0</v>
      </c>
      <c r="N37" s="92"/>
      <c r="O37" s="91">
        <v>0</v>
      </c>
      <c r="P37" s="92"/>
      <c r="Q37" s="92">
        <f t="shared" si="0"/>
        <v>0</v>
      </c>
      <c r="S37" s="93">
        <f>Q37/درآمدها!$J$5</f>
        <v>0</v>
      </c>
      <c r="T37" s="177"/>
      <c r="U37" s="190"/>
      <c r="W37" s="190"/>
    </row>
    <row r="38" spans="1:23" s="171" customFormat="1" ht="21.75" customHeight="1">
      <c r="A38" s="358" t="s">
        <v>232</v>
      </c>
      <c r="C38" s="359" t="s">
        <v>237</v>
      </c>
      <c r="E38" s="176" t="s">
        <v>106</v>
      </c>
      <c r="G38" s="359" t="s">
        <v>91</v>
      </c>
      <c r="I38" s="207">
        <v>0.22500000000000001</v>
      </c>
      <c r="J38" s="92"/>
      <c r="K38" s="91">
        <v>0</v>
      </c>
      <c r="L38" s="92"/>
      <c r="M38" s="91">
        <v>0</v>
      </c>
      <c r="N38" s="92"/>
      <c r="O38" s="91">
        <v>0</v>
      </c>
      <c r="P38" s="92"/>
      <c r="Q38" s="92">
        <f t="shared" si="0"/>
        <v>0</v>
      </c>
      <c r="S38" s="93">
        <f>Q38/درآمدها!$J$5</f>
        <v>0</v>
      </c>
      <c r="T38" s="177"/>
      <c r="U38" s="190"/>
      <c r="W38" s="190"/>
    </row>
    <row r="39" spans="1:23" s="171" customFormat="1" ht="21.75" customHeight="1">
      <c r="A39" s="358" t="s">
        <v>113</v>
      </c>
      <c r="C39" s="359" t="s">
        <v>116</v>
      </c>
      <c r="E39" s="176" t="s">
        <v>106</v>
      </c>
      <c r="G39" s="359" t="s">
        <v>91</v>
      </c>
      <c r="I39" s="207">
        <v>0.22500000000000001</v>
      </c>
      <c r="J39" s="92"/>
      <c r="K39" s="91">
        <v>0</v>
      </c>
      <c r="L39" s="92"/>
      <c r="M39" s="91">
        <v>0</v>
      </c>
      <c r="N39" s="92"/>
      <c r="O39" s="91">
        <v>0</v>
      </c>
      <c r="P39" s="92"/>
      <c r="Q39" s="92">
        <f t="shared" si="0"/>
        <v>0</v>
      </c>
      <c r="S39" s="93">
        <f>Q39/درآمدها!$J$5</f>
        <v>0</v>
      </c>
      <c r="T39" s="177"/>
      <c r="U39" s="190"/>
      <c r="W39" s="190"/>
    </row>
    <row r="40" spans="1:23" s="171" customFormat="1" ht="21.75" customHeight="1">
      <c r="A40" s="358" t="s">
        <v>130</v>
      </c>
      <c r="C40" s="359" t="s">
        <v>140</v>
      </c>
      <c r="E40" s="176" t="s">
        <v>106</v>
      </c>
      <c r="G40" s="359" t="s">
        <v>91</v>
      </c>
      <c r="I40" s="207">
        <v>0.22500000000000001</v>
      </c>
      <c r="J40" s="92"/>
      <c r="K40" s="91">
        <v>0</v>
      </c>
      <c r="L40" s="92"/>
      <c r="M40" s="91">
        <v>0</v>
      </c>
      <c r="N40" s="92"/>
      <c r="O40" s="91">
        <v>0</v>
      </c>
      <c r="P40" s="92"/>
      <c r="Q40" s="92">
        <f t="shared" si="0"/>
        <v>0</v>
      </c>
      <c r="S40" s="93">
        <f>Q40/درآمدها!$J$5</f>
        <v>0</v>
      </c>
      <c r="T40" s="177"/>
      <c r="U40" s="190"/>
      <c r="W40" s="190"/>
    </row>
    <row r="41" spans="1:23" s="171" customFormat="1" ht="21.75" customHeight="1">
      <c r="A41" s="358" t="s">
        <v>258</v>
      </c>
      <c r="C41" s="359" t="s">
        <v>280</v>
      </c>
      <c r="E41" s="176" t="s">
        <v>106</v>
      </c>
      <c r="G41" s="359" t="s">
        <v>91</v>
      </c>
      <c r="I41" s="207">
        <v>0.22500000000000001</v>
      </c>
      <c r="J41" s="92"/>
      <c r="K41" s="91">
        <v>0</v>
      </c>
      <c r="L41" s="92"/>
      <c r="M41" s="91">
        <v>0</v>
      </c>
      <c r="N41" s="92"/>
      <c r="O41" s="91">
        <v>0</v>
      </c>
      <c r="P41" s="92"/>
      <c r="Q41" s="92">
        <f t="shared" si="0"/>
        <v>0</v>
      </c>
      <c r="S41" s="93">
        <f>Q41/درآمدها!$J$5</f>
        <v>0</v>
      </c>
      <c r="T41" s="177"/>
      <c r="U41" s="190"/>
      <c r="W41" s="190"/>
    </row>
    <row r="42" spans="1:23" s="171" customFormat="1" ht="21.75" customHeight="1">
      <c r="A42" s="358" t="s">
        <v>154</v>
      </c>
      <c r="C42" s="359" t="s">
        <v>164</v>
      </c>
      <c r="E42" s="176" t="s">
        <v>106</v>
      </c>
      <c r="G42" s="359" t="s">
        <v>91</v>
      </c>
      <c r="I42" s="207">
        <v>0.22500000000000001</v>
      </c>
      <c r="J42" s="92"/>
      <c r="K42" s="91">
        <v>0</v>
      </c>
      <c r="L42" s="92"/>
      <c r="M42" s="91">
        <v>0</v>
      </c>
      <c r="N42" s="92"/>
      <c r="O42" s="91">
        <v>0</v>
      </c>
      <c r="P42" s="92"/>
      <c r="Q42" s="92">
        <f t="shared" si="0"/>
        <v>0</v>
      </c>
      <c r="S42" s="93">
        <f>Q42/درآمدها!$J$5</f>
        <v>0</v>
      </c>
      <c r="T42" s="177"/>
      <c r="U42" s="190"/>
      <c r="W42" s="190"/>
    </row>
    <row r="43" spans="1:23" s="171" customFormat="1" ht="21.75" customHeight="1">
      <c r="A43" s="358" t="s">
        <v>207</v>
      </c>
      <c r="C43" s="359" t="s">
        <v>213</v>
      </c>
      <c r="E43" s="176" t="s">
        <v>106</v>
      </c>
      <c r="G43" s="359" t="s">
        <v>91</v>
      </c>
      <c r="I43" s="207">
        <v>0.22500000000000001</v>
      </c>
      <c r="J43" s="92"/>
      <c r="K43" s="91">
        <v>8490000000</v>
      </c>
      <c r="L43" s="92"/>
      <c r="M43" s="91">
        <v>0</v>
      </c>
      <c r="N43" s="92"/>
      <c r="O43" s="91">
        <v>8490000000</v>
      </c>
      <c r="P43" s="92"/>
      <c r="Q43" s="92">
        <f t="shared" si="0"/>
        <v>0</v>
      </c>
      <c r="S43" s="93">
        <f>Q43/درآمدها!$J$5</f>
        <v>0</v>
      </c>
      <c r="T43" s="177"/>
      <c r="U43" s="190"/>
      <c r="W43" s="190"/>
    </row>
    <row r="44" spans="1:23" s="171" customFormat="1" ht="21.75" customHeight="1">
      <c r="A44" s="358" t="s">
        <v>171</v>
      </c>
      <c r="C44" s="359" t="s">
        <v>281</v>
      </c>
      <c r="E44" s="176" t="s">
        <v>106</v>
      </c>
      <c r="G44" s="359" t="s">
        <v>91</v>
      </c>
      <c r="I44" s="207">
        <v>0.22500000000000001</v>
      </c>
      <c r="J44" s="92"/>
      <c r="K44" s="91">
        <v>0</v>
      </c>
      <c r="L44" s="92"/>
      <c r="M44" s="91">
        <v>0</v>
      </c>
      <c r="N44" s="92"/>
      <c r="O44" s="91">
        <v>0</v>
      </c>
      <c r="P44" s="92"/>
      <c r="Q44" s="92">
        <f t="shared" si="0"/>
        <v>0</v>
      </c>
      <c r="S44" s="93">
        <f>Q44/درآمدها!$J$5</f>
        <v>0</v>
      </c>
      <c r="T44" s="177"/>
      <c r="U44" s="190"/>
      <c r="W44" s="190"/>
    </row>
    <row r="45" spans="1:23" s="171" customFormat="1" ht="21.75" customHeight="1">
      <c r="A45" s="358" t="s">
        <v>206</v>
      </c>
      <c r="C45" s="359" t="s">
        <v>212</v>
      </c>
      <c r="E45" s="176" t="s">
        <v>106</v>
      </c>
      <c r="G45" s="359" t="s">
        <v>91</v>
      </c>
      <c r="I45" s="207">
        <v>0.22500000000000001</v>
      </c>
      <c r="J45" s="92"/>
      <c r="K45" s="91">
        <v>53080000000</v>
      </c>
      <c r="L45" s="92"/>
      <c r="M45" s="91">
        <v>0</v>
      </c>
      <c r="N45" s="92"/>
      <c r="O45" s="91">
        <v>53080000000</v>
      </c>
      <c r="P45" s="92"/>
      <c r="Q45" s="92">
        <f t="shared" si="0"/>
        <v>0</v>
      </c>
      <c r="S45" s="93">
        <f>Q45/درآمدها!$J$5</f>
        <v>0</v>
      </c>
      <c r="T45" s="177"/>
      <c r="U45" s="190"/>
      <c r="W45" s="190"/>
    </row>
    <row r="46" spans="1:23" s="171" customFormat="1" ht="21.75" customHeight="1">
      <c r="A46" s="358" t="s">
        <v>272</v>
      </c>
      <c r="C46" s="359" t="s">
        <v>282</v>
      </c>
      <c r="E46" s="176" t="s">
        <v>106</v>
      </c>
      <c r="G46" s="359" t="s">
        <v>91</v>
      </c>
      <c r="I46" s="207">
        <v>0.22500000000000001</v>
      </c>
      <c r="J46" s="92"/>
      <c r="K46" s="91">
        <v>0</v>
      </c>
      <c r="L46" s="92"/>
      <c r="M46" s="91">
        <v>185186000000</v>
      </c>
      <c r="N46" s="92"/>
      <c r="O46" s="91">
        <v>0</v>
      </c>
      <c r="P46" s="92"/>
      <c r="Q46" s="92">
        <f t="shared" si="0"/>
        <v>185186000000</v>
      </c>
      <c r="S46" s="93">
        <f>Q46/درآمدها!$J$5</f>
        <v>6.5799047798884083E-2</v>
      </c>
      <c r="T46" s="177"/>
      <c r="U46" s="190"/>
      <c r="W46" s="190"/>
    </row>
    <row r="47" spans="1:23" s="171" customFormat="1" ht="21.75" customHeight="1">
      <c r="A47" s="358" t="s">
        <v>271</v>
      </c>
      <c r="C47" s="359" t="s">
        <v>283</v>
      </c>
      <c r="E47" s="176" t="s">
        <v>106</v>
      </c>
      <c r="G47" s="359" t="s">
        <v>91</v>
      </c>
      <c r="I47" s="207">
        <v>0.22500000000000001</v>
      </c>
      <c r="J47" s="92"/>
      <c r="K47" s="91">
        <v>0</v>
      </c>
      <c r="L47" s="92"/>
      <c r="M47" s="91">
        <v>49122000000</v>
      </c>
      <c r="N47" s="92"/>
      <c r="O47" s="91">
        <v>0</v>
      </c>
      <c r="P47" s="92"/>
      <c r="Q47" s="92">
        <f t="shared" si="0"/>
        <v>49122000000</v>
      </c>
      <c r="S47" s="93">
        <f>Q47/درآمدها!$J$5</f>
        <v>1.7453699663996111E-2</v>
      </c>
      <c r="T47" s="177"/>
      <c r="U47" s="190"/>
      <c r="W47" s="190"/>
    </row>
    <row r="48" spans="1:23" s="171" customFormat="1" ht="21.75" customHeight="1">
      <c r="A48" s="358" t="s">
        <v>172</v>
      </c>
      <c r="C48" s="359" t="s">
        <v>284</v>
      </c>
      <c r="E48" s="176" t="s">
        <v>106</v>
      </c>
      <c r="G48" s="359" t="s">
        <v>91</v>
      </c>
      <c r="I48" s="207">
        <v>0.22500000000000001</v>
      </c>
      <c r="J48" s="92"/>
      <c r="K48" s="91">
        <v>0</v>
      </c>
      <c r="L48" s="92"/>
      <c r="M48" s="91">
        <v>0</v>
      </c>
      <c r="N48" s="92"/>
      <c r="O48" s="91">
        <v>0</v>
      </c>
      <c r="P48" s="92"/>
      <c r="Q48" s="92">
        <f t="shared" si="0"/>
        <v>0</v>
      </c>
      <c r="S48" s="93">
        <f>Q48/درآمدها!$J$5</f>
        <v>0</v>
      </c>
      <c r="T48" s="177"/>
      <c r="U48" s="190"/>
      <c r="W48" s="190"/>
    </row>
    <row r="49" spans="1:23" s="171" customFormat="1" ht="21.75" customHeight="1">
      <c r="A49" s="358" t="s">
        <v>173</v>
      </c>
      <c r="C49" s="359" t="s">
        <v>285</v>
      </c>
      <c r="E49" s="176" t="s">
        <v>106</v>
      </c>
      <c r="G49" s="359" t="s">
        <v>91</v>
      </c>
      <c r="I49" s="207">
        <v>0.22500000000000001</v>
      </c>
      <c r="J49" s="92"/>
      <c r="K49" s="91">
        <v>0</v>
      </c>
      <c r="L49" s="92"/>
      <c r="M49" s="91">
        <v>0</v>
      </c>
      <c r="N49" s="92"/>
      <c r="O49" s="91">
        <v>0</v>
      </c>
      <c r="P49" s="92"/>
      <c r="Q49" s="92">
        <f t="shared" si="0"/>
        <v>0</v>
      </c>
      <c r="S49" s="93">
        <f>Q49/درآمدها!$J$5</f>
        <v>0</v>
      </c>
      <c r="T49" s="177"/>
      <c r="U49" s="190"/>
      <c r="W49" s="190"/>
    </row>
    <row r="50" spans="1:23" s="171" customFormat="1" ht="21.75" customHeight="1">
      <c r="A50" s="358" t="s">
        <v>177</v>
      </c>
      <c r="C50" s="359" t="s">
        <v>208</v>
      </c>
      <c r="E50" s="176" t="s">
        <v>106</v>
      </c>
      <c r="G50" s="359" t="s">
        <v>91</v>
      </c>
      <c r="I50" s="207">
        <v>0.22500000000000001</v>
      </c>
      <c r="J50" s="92"/>
      <c r="K50" s="91">
        <v>99718000000</v>
      </c>
      <c r="L50" s="92"/>
      <c r="M50" s="91">
        <v>0</v>
      </c>
      <c r="N50" s="92"/>
      <c r="O50" s="91">
        <v>0</v>
      </c>
      <c r="P50" s="92"/>
      <c r="Q50" s="92">
        <f t="shared" si="0"/>
        <v>99718000000</v>
      </c>
      <c r="S50" s="93">
        <f>Q50/درآمدها!$J$5</f>
        <v>3.5431131124432316E-2</v>
      </c>
      <c r="T50" s="177"/>
      <c r="U50" s="190"/>
      <c r="W50" s="190"/>
    </row>
    <row r="51" spans="1:23" s="171" customFormat="1" ht="21.75" customHeight="1">
      <c r="A51" s="358" t="s">
        <v>187</v>
      </c>
      <c r="C51" s="359" t="s">
        <v>209</v>
      </c>
      <c r="E51" s="176" t="s">
        <v>106</v>
      </c>
      <c r="G51" s="359" t="s">
        <v>91</v>
      </c>
      <c r="I51" s="207">
        <v>0.22500000000000001</v>
      </c>
      <c r="J51" s="92"/>
      <c r="K51" s="91">
        <v>93718000000</v>
      </c>
      <c r="L51" s="92"/>
      <c r="M51" s="91">
        <v>0</v>
      </c>
      <c r="N51" s="92"/>
      <c r="O51" s="91">
        <v>0</v>
      </c>
      <c r="P51" s="92"/>
      <c r="Q51" s="92">
        <f t="shared" si="0"/>
        <v>93718000000</v>
      </c>
      <c r="S51" s="93">
        <f>Q51/درآمدها!$J$5</f>
        <v>3.3299251356019452E-2</v>
      </c>
      <c r="T51" s="177"/>
      <c r="U51" s="190"/>
      <c r="W51" s="190"/>
    </row>
    <row r="52" spans="1:23" s="171" customFormat="1" ht="21.75" customHeight="1">
      <c r="A52" s="358" t="s">
        <v>188</v>
      </c>
      <c r="C52" s="359" t="s">
        <v>286</v>
      </c>
      <c r="E52" s="176" t="s">
        <v>106</v>
      </c>
      <c r="G52" s="359" t="s">
        <v>91</v>
      </c>
      <c r="I52" s="207">
        <v>0.22500000000000001</v>
      </c>
      <c r="J52" s="92"/>
      <c r="K52" s="91">
        <v>25000000000</v>
      </c>
      <c r="L52" s="92"/>
      <c r="M52" s="91">
        <v>0</v>
      </c>
      <c r="N52" s="92"/>
      <c r="O52" s="91">
        <v>0</v>
      </c>
      <c r="P52" s="92"/>
      <c r="Q52" s="92">
        <f t="shared" si="0"/>
        <v>25000000000</v>
      </c>
      <c r="S52" s="93">
        <f>Q52/درآمدها!$J$5</f>
        <v>8.8828323683869306E-3</v>
      </c>
      <c r="T52" s="177"/>
      <c r="U52" s="190"/>
      <c r="W52" s="190"/>
    </row>
    <row r="53" spans="1:23" s="171" customFormat="1" ht="21.75" customHeight="1">
      <c r="A53" s="358" t="s">
        <v>192</v>
      </c>
      <c r="C53" s="359" t="s">
        <v>210</v>
      </c>
      <c r="E53" s="176" t="s">
        <v>106</v>
      </c>
      <c r="G53" s="359" t="s">
        <v>91</v>
      </c>
      <c r="I53" s="207">
        <v>0.22500000000000001</v>
      </c>
      <c r="J53" s="92"/>
      <c r="K53" s="91">
        <v>0</v>
      </c>
      <c r="L53" s="92"/>
      <c r="M53" s="91">
        <v>0</v>
      </c>
      <c r="N53" s="92"/>
      <c r="O53" s="91">
        <v>0</v>
      </c>
      <c r="P53" s="92"/>
      <c r="Q53" s="92">
        <f t="shared" si="0"/>
        <v>0</v>
      </c>
      <c r="S53" s="93">
        <f>Q53/درآمدها!$J$5</f>
        <v>0</v>
      </c>
      <c r="T53" s="177"/>
      <c r="U53" s="190"/>
      <c r="W53" s="190"/>
    </row>
    <row r="54" spans="1:23" s="171" customFormat="1" ht="21.75" customHeight="1">
      <c r="A54" s="358" t="s">
        <v>193</v>
      </c>
      <c r="C54" s="359" t="s">
        <v>211</v>
      </c>
      <c r="E54" s="176" t="s">
        <v>106</v>
      </c>
      <c r="G54" s="359" t="s">
        <v>91</v>
      </c>
      <c r="I54" s="207">
        <v>0.22500000000000001</v>
      </c>
      <c r="J54" s="92"/>
      <c r="K54" s="91">
        <v>0</v>
      </c>
      <c r="L54" s="92"/>
      <c r="M54" s="91">
        <v>0</v>
      </c>
      <c r="N54" s="92"/>
      <c r="O54" s="91">
        <v>0</v>
      </c>
      <c r="P54" s="92"/>
      <c r="Q54" s="92">
        <f t="shared" si="0"/>
        <v>0</v>
      </c>
      <c r="S54" s="93">
        <f>Q54/درآمدها!$J$5</f>
        <v>0</v>
      </c>
      <c r="T54" s="177"/>
      <c r="U54" s="190"/>
      <c r="W54" s="190"/>
    </row>
    <row r="55" spans="1:23" s="171" customFormat="1" ht="21.75" customHeight="1">
      <c r="A55" s="358" t="s">
        <v>155</v>
      </c>
      <c r="C55" s="359" t="s">
        <v>287</v>
      </c>
      <c r="E55" s="176" t="s">
        <v>106</v>
      </c>
      <c r="G55" s="359" t="s">
        <v>91</v>
      </c>
      <c r="I55" s="207">
        <v>0.22500000000000001</v>
      </c>
      <c r="J55" s="92"/>
      <c r="K55" s="91">
        <v>0</v>
      </c>
      <c r="L55" s="92"/>
      <c r="M55" s="91">
        <v>0</v>
      </c>
      <c r="N55" s="92"/>
      <c r="O55" s="91">
        <v>0</v>
      </c>
      <c r="P55" s="92"/>
      <c r="Q55" s="92">
        <f t="shared" si="0"/>
        <v>0</v>
      </c>
      <c r="S55" s="93">
        <f>Q55/درآمدها!$J$5</f>
        <v>0</v>
      </c>
      <c r="T55" s="177"/>
      <c r="U55" s="190"/>
      <c r="W55" s="190"/>
    </row>
    <row r="56" spans="1:23" s="171" customFormat="1" ht="21.75" customHeight="1">
      <c r="A56" s="358" t="s">
        <v>156</v>
      </c>
      <c r="C56" s="359" t="s">
        <v>288</v>
      </c>
      <c r="E56" s="176" t="s">
        <v>106</v>
      </c>
      <c r="G56" s="359" t="s">
        <v>91</v>
      </c>
      <c r="I56" s="207">
        <v>0.22500000000000001</v>
      </c>
      <c r="J56" s="92"/>
      <c r="K56" s="91">
        <v>0</v>
      </c>
      <c r="L56" s="92"/>
      <c r="M56" s="91">
        <v>0</v>
      </c>
      <c r="N56" s="92"/>
      <c r="O56" s="91">
        <v>0</v>
      </c>
      <c r="P56" s="92"/>
      <c r="Q56" s="92">
        <f t="shared" si="0"/>
        <v>0</v>
      </c>
      <c r="S56" s="93">
        <f>Q56/درآمدها!$J$5</f>
        <v>0</v>
      </c>
      <c r="T56" s="177"/>
      <c r="U56" s="190"/>
      <c r="W56" s="190"/>
    </row>
    <row r="57" spans="1:23" s="171" customFormat="1" ht="21.75" customHeight="1">
      <c r="A57" s="358" t="s">
        <v>159</v>
      </c>
      <c r="C57" s="359" t="s">
        <v>289</v>
      </c>
      <c r="E57" s="176" t="s">
        <v>106</v>
      </c>
      <c r="G57" s="359" t="s">
        <v>91</v>
      </c>
      <c r="I57" s="207">
        <v>0.22500000000000001</v>
      </c>
      <c r="J57" s="92"/>
      <c r="K57" s="91">
        <v>0</v>
      </c>
      <c r="L57" s="92"/>
      <c r="M57" s="91">
        <v>0</v>
      </c>
      <c r="N57" s="92"/>
      <c r="O57" s="91">
        <v>0</v>
      </c>
      <c r="P57" s="92"/>
      <c r="Q57" s="92">
        <f t="shared" si="0"/>
        <v>0</v>
      </c>
      <c r="S57" s="93">
        <f>Q57/درآمدها!$J$5</f>
        <v>0</v>
      </c>
      <c r="T57" s="177"/>
      <c r="U57" s="190"/>
      <c r="W57" s="190"/>
    </row>
    <row r="58" spans="1:23" s="171" customFormat="1" ht="18">
      <c r="A58" s="358" t="s">
        <v>261</v>
      </c>
      <c r="C58" s="359" t="s">
        <v>169</v>
      </c>
      <c r="E58" s="176" t="s">
        <v>106</v>
      </c>
      <c r="G58" s="359" t="s">
        <v>91</v>
      </c>
      <c r="I58" s="207">
        <v>0.22500000000000001</v>
      </c>
      <c r="J58" s="92"/>
      <c r="K58" s="92">
        <v>0</v>
      </c>
      <c r="L58" s="92"/>
      <c r="M58" s="91">
        <v>0</v>
      </c>
      <c r="N58" s="92"/>
      <c r="O58" s="91">
        <v>0</v>
      </c>
      <c r="P58" s="92"/>
      <c r="Q58" s="92">
        <f t="shared" si="0"/>
        <v>0</v>
      </c>
      <c r="S58" s="93">
        <f>Q58/درآمدها!$J$5</f>
        <v>0</v>
      </c>
      <c r="T58" s="177"/>
      <c r="U58" s="177"/>
      <c r="V58" s="177"/>
      <c r="W58" s="190"/>
    </row>
    <row r="59" spans="1:23" s="171" customFormat="1" ht="18">
      <c r="A59" s="358" t="s">
        <v>214</v>
      </c>
      <c r="C59" s="360" t="s">
        <v>94</v>
      </c>
      <c r="E59" s="176" t="s">
        <v>90</v>
      </c>
      <c r="G59" s="359" t="s">
        <v>91</v>
      </c>
      <c r="I59" s="204" t="s">
        <v>91</v>
      </c>
      <c r="J59" s="92"/>
      <c r="K59" s="92">
        <v>2606326</v>
      </c>
      <c r="L59" s="92"/>
      <c r="M59" s="91">
        <v>297135863535</v>
      </c>
      <c r="N59" s="92"/>
      <c r="O59" s="91">
        <v>297074840075</v>
      </c>
      <c r="P59" s="92"/>
      <c r="Q59" s="92">
        <f t="shared" si="0"/>
        <v>63629786</v>
      </c>
      <c r="S59" s="93">
        <f>Q59/درآمدها!$J$5</f>
        <v>2.2608508906973339E-5</v>
      </c>
      <c r="T59" s="177"/>
      <c r="U59" s="177"/>
      <c r="V59" s="177"/>
      <c r="W59" s="190"/>
    </row>
    <row r="60" spans="1:23" s="171" customFormat="1" ht="18">
      <c r="A60" s="358" t="s">
        <v>153</v>
      </c>
      <c r="C60" s="360" t="s">
        <v>290</v>
      </c>
      <c r="E60" s="176" t="s">
        <v>106</v>
      </c>
      <c r="G60" s="359" t="s">
        <v>91</v>
      </c>
      <c r="I60" s="207">
        <v>0.22500000000000001</v>
      </c>
      <c r="J60" s="92"/>
      <c r="K60" s="92">
        <v>0</v>
      </c>
      <c r="L60" s="92"/>
      <c r="M60" s="91">
        <v>0</v>
      </c>
      <c r="N60" s="92"/>
      <c r="O60" s="91">
        <v>0</v>
      </c>
      <c r="P60" s="92"/>
      <c r="Q60" s="92">
        <f t="shared" si="0"/>
        <v>0</v>
      </c>
      <c r="S60" s="93">
        <f>Q60/درآمدها!$J$5</f>
        <v>0</v>
      </c>
      <c r="T60" s="177"/>
      <c r="U60" s="177"/>
      <c r="V60" s="177"/>
      <c r="W60" s="190"/>
    </row>
    <row r="61" spans="1:23" s="171" customFormat="1" ht="18">
      <c r="A61" s="358" t="s">
        <v>157</v>
      </c>
      <c r="C61" s="360" t="s">
        <v>291</v>
      </c>
      <c r="E61" s="176" t="s">
        <v>106</v>
      </c>
      <c r="G61" s="359" t="s">
        <v>91</v>
      </c>
      <c r="I61" s="207">
        <v>0.22500000000000001</v>
      </c>
      <c r="J61" s="92"/>
      <c r="K61" s="92">
        <v>0</v>
      </c>
      <c r="L61" s="92"/>
      <c r="M61" s="91">
        <v>0</v>
      </c>
      <c r="N61" s="92"/>
      <c r="O61" s="91">
        <v>0</v>
      </c>
      <c r="P61" s="92"/>
      <c r="Q61" s="92">
        <f t="shared" si="0"/>
        <v>0</v>
      </c>
      <c r="S61" s="93">
        <f>Q61/درآمدها!$J$5</f>
        <v>0</v>
      </c>
      <c r="T61" s="177"/>
      <c r="U61" s="177"/>
      <c r="V61" s="177"/>
      <c r="W61" s="190"/>
    </row>
    <row r="62" spans="1:23" s="171" customFormat="1" ht="18">
      <c r="A62" s="358" t="s">
        <v>158</v>
      </c>
      <c r="C62" s="359" t="s">
        <v>292</v>
      </c>
      <c r="E62" s="176" t="s">
        <v>106</v>
      </c>
      <c r="G62" s="359" t="s">
        <v>91</v>
      </c>
      <c r="I62" s="207">
        <v>0.22500000000000001</v>
      </c>
      <c r="J62" s="92"/>
      <c r="K62" s="92">
        <v>0</v>
      </c>
      <c r="L62" s="92"/>
      <c r="M62" s="91">
        <v>0</v>
      </c>
      <c r="N62" s="92"/>
      <c r="O62" s="91">
        <v>0</v>
      </c>
      <c r="P62" s="92"/>
      <c r="Q62" s="92">
        <f t="shared" si="0"/>
        <v>0</v>
      </c>
      <c r="S62" s="93">
        <f>Q62/درآمدها!$J$5</f>
        <v>0</v>
      </c>
      <c r="T62" s="177"/>
      <c r="U62" s="177"/>
      <c r="V62" s="177"/>
      <c r="W62" s="190"/>
    </row>
    <row r="63" spans="1:23" s="171" customFormat="1" ht="18">
      <c r="A63" s="358" t="s">
        <v>124</v>
      </c>
      <c r="C63" s="360" t="s">
        <v>127</v>
      </c>
      <c r="E63" s="176" t="s">
        <v>106</v>
      </c>
      <c r="G63" s="359" t="s">
        <v>91</v>
      </c>
      <c r="I63" s="207">
        <v>0.22500000000000001</v>
      </c>
      <c r="J63" s="92"/>
      <c r="K63" s="92">
        <v>0</v>
      </c>
      <c r="L63" s="92"/>
      <c r="M63" s="91">
        <v>0</v>
      </c>
      <c r="N63" s="92"/>
      <c r="O63" s="91">
        <v>0</v>
      </c>
      <c r="P63" s="92"/>
      <c r="Q63" s="92">
        <f t="shared" si="0"/>
        <v>0</v>
      </c>
      <c r="S63" s="93">
        <f>Q63/درآمدها!$J$5</f>
        <v>0</v>
      </c>
      <c r="T63" s="177"/>
      <c r="U63" s="177"/>
      <c r="V63" s="177"/>
      <c r="W63" s="190"/>
    </row>
    <row r="64" spans="1:23" s="171" customFormat="1" ht="18">
      <c r="A64" s="358" t="s">
        <v>125</v>
      </c>
      <c r="C64" s="359" t="s">
        <v>128</v>
      </c>
      <c r="E64" s="176" t="s">
        <v>106</v>
      </c>
      <c r="G64" s="359" t="s">
        <v>91</v>
      </c>
      <c r="I64" s="207">
        <v>0.22500000000000001</v>
      </c>
      <c r="J64" s="92"/>
      <c r="K64" s="92">
        <v>0</v>
      </c>
      <c r="L64" s="92"/>
      <c r="M64" s="91">
        <v>0</v>
      </c>
      <c r="N64" s="92"/>
      <c r="O64" s="91">
        <v>0</v>
      </c>
      <c r="P64" s="92"/>
      <c r="Q64" s="92">
        <f t="shared" si="0"/>
        <v>0</v>
      </c>
      <c r="S64" s="93">
        <f>Q64/درآمدها!$J$5</f>
        <v>0</v>
      </c>
      <c r="T64" s="177"/>
      <c r="U64" s="177"/>
      <c r="V64" s="177"/>
      <c r="W64" s="190"/>
    </row>
    <row r="65" spans="1:23" s="171" customFormat="1" ht="18">
      <c r="A65" s="358" t="s">
        <v>126</v>
      </c>
      <c r="C65" s="359" t="s">
        <v>129</v>
      </c>
      <c r="E65" s="176" t="s">
        <v>106</v>
      </c>
      <c r="G65" s="359" t="s">
        <v>91</v>
      </c>
      <c r="I65" s="207">
        <v>0.22500000000000001</v>
      </c>
      <c r="J65" s="92"/>
      <c r="K65" s="92">
        <v>0</v>
      </c>
      <c r="L65" s="92"/>
      <c r="M65" s="91">
        <v>0</v>
      </c>
      <c r="N65" s="92"/>
      <c r="O65" s="91">
        <v>0</v>
      </c>
      <c r="P65" s="92"/>
      <c r="Q65" s="92">
        <f t="shared" si="0"/>
        <v>0</v>
      </c>
      <c r="S65" s="93">
        <f>Q65/درآمدها!$J$5</f>
        <v>0</v>
      </c>
      <c r="T65" s="177"/>
      <c r="U65" s="177"/>
      <c r="V65" s="177"/>
      <c r="W65" s="190"/>
    </row>
    <row r="66" spans="1:23" s="171" customFormat="1" ht="18">
      <c r="A66" s="358" t="s">
        <v>160</v>
      </c>
      <c r="C66" s="359" t="s">
        <v>165</v>
      </c>
      <c r="E66" s="176" t="s">
        <v>106</v>
      </c>
      <c r="G66" s="359" t="s">
        <v>91</v>
      </c>
      <c r="I66" s="207">
        <v>0.22500000000000001</v>
      </c>
      <c r="J66" s="92"/>
      <c r="K66" s="92">
        <v>0</v>
      </c>
      <c r="L66" s="92"/>
      <c r="M66" s="91">
        <v>0</v>
      </c>
      <c r="N66" s="92"/>
      <c r="O66" s="91">
        <v>0</v>
      </c>
      <c r="P66" s="92"/>
      <c r="Q66" s="92">
        <f t="shared" si="0"/>
        <v>0</v>
      </c>
      <c r="S66" s="93">
        <f>Q66/درآمدها!$J$5</f>
        <v>0</v>
      </c>
      <c r="T66" s="177"/>
      <c r="U66" s="177"/>
      <c r="V66" s="177"/>
      <c r="W66" s="190"/>
    </row>
    <row r="67" spans="1:23" s="171" customFormat="1" ht="18">
      <c r="A67" s="358" t="s">
        <v>161</v>
      </c>
      <c r="C67" s="359" t="s">
        <v>166</v>
      </c>
      <c r="E67" s="176" t="s">
        <v>106</v>
      </c>
      <c r="G67" s="359" t="s">
        <v>91</v>
      </c>
      <c r="I67" s="207">
        <v>0.22500000000000001</v>
      </c>
      <c r="J67" s="92"/>
      <c r="K67" s="92">
        <v>0</v>
      </c>
      <c r="L67" s="92"/>
      <c r="M67" s="91">
        <v>0</v>
      </c>
      <c r="N67" s="92"/>
      <c r="O67" s="91">
        <v>0</v>
      </c>
      <c r="P67" s="92"/>
      <c r="Q67" s="92">
        <f t="shared" si="0"/>
        <v>0</v>
      </c>
      <c r="S67" s="93">
        <f>Q67/درآمدها!$J$5</f>
        <v>0</v>
      </c>
      <c r="T67" s="177"/>
      <c r="U67" s="177"/>
      <c r="V67" s="177"/>
      <c r="W67" s="190"/>
    </row>
    <row r="68" spans="1:23" s="171" customFormat="1" ht="18">
      <c r="A68" s="358" t="s">
        <v>162</v>
      </c>
      <c r="C68" s="359" t="s">
        <v>167</v>
      </c>
      <c r="E68" s="176" t="s">
        <v>106</v>
      </c>
      <c r="G68" s="359" t="s">
        <v>91</v>
      </c>
      <c r="I68" s="207">
        <v>0.22500000000000001</v>
      </c>
      <c r="J68" s="92"/>
      <c r="K68" s="92">
        <v>0</v>
      </c>
      <c r="L68" s="92"/>
      <c r="M68" s="91">
        <v>0</v>
      </c>
      <c r="N68" s="92"/>
      <c r="O68" s="91">
        <v>0</v>
      </c>
      <c r="P68" s="92"/>
      <c r="Q68" s="92">
        <f t="shared" si="0"/>
        <v>0</v>
      </c>
      <c r="S68" s="93">
        <f>Q68/درآمدها!$J$5</f>
        <v>0</v>
      </c>
      <c r="T68" s="177"/>
      <c r="U68" s="177"/>
      <c r="V68" s="177"/>
      <c r="W68" s="190"/>
    </row>
    <row r="69" spans="1:23" s="171" customFormat="1" ht="18">
      <c r="A69" s="358" t="s">
        <v>163</v>
      </c>
      <c r="C69" s="359" t="s">
        <v>168</v>
      </c>
      <c r="E69" s="176" t="s">
        <v>106</v>
      </c>
      <c r="G69" s="359" t="s">
        <v>91</v>
      </c>
      <c r="I69" s="207">
        <v>0.22500000000000001</v>
      </c>
      <c r="J69" s="92"/>
      <c r="K69" s="92">
        <v>0</v>
      </c>
      <c r="L69" s="92"/>
      <c r="M69" s="91">
        <v>0</v>
      </c>
      <c r="N69" s="92"/>
      <c r="O69" s="91">
        <v>0</v>
      </c>
      <c r="P69" s="92"/>
      <c r="Q69" s="92">
        <f t="shared" si="0"/>
        <v>0</v>
      </c>
      <c r="S69" s="93">
        <f>Q69/درآمدها!$J$5</f>
        <v>0</v>
      </c>
      <c r="T69" s="177"/>
      <c r="U69" s="177"/>
      <c r="V69" s="177"/>
      <c r="W69" s="190"/>
    </row>
    <row r="70" spans="1:23" s="171" customFormat="1" ht="18">
      <c r="A70" s="358" t="s">
        <v>114</v>
      </c>
      <c r="C70" s="359" t="s">
        <v>117</v>
      </c>
      <c r="E70" s="176" t="s">
        <v>106</v>
      </c>
      <c r="G70" s="359" t="s">
        <v>91</v>
      </c>
      <c r="I70" s="207">
        <v>0.22500000000000001</v>
      </c>
      <c r="J70" s="92"/>
      <c r="K70" s="92">
        <v>0</v>
      </c>
      <c r="L70" s="92"/>
      <c r="M70" s="91">
        <v>0</v>
      </c>
      <c r="N70" s="92"/>
      <c r="O70" s="91">
        <v>0</v>
      </c>
      <c r="P70" s="92"/>
      <c r="Q70" s="92">
        <f t="shared" si="0"/>
        <v>0</v>
      </c>
      <c r="S70" s="93">
        <f>Q70/درآمدها!$J$5</f>
        <v>0</v>
      </c>
      <c r="T70" s="177"/>
      <c r="U70" s="177"/>
      <c r="V70" s="177"/>
      <c r="W70" s="190"/>
    </row>
    <row r="71" spans="1:23" s="171" customFormat="1" ht="18">
      <c r="A71" s="358" t="s">
        <v>268</v>
      </c>
      <c r="C71" s="359" t="s">
        <v>293</v>
      </c>
      <c r="E71" s="176" t="s">
        <v>90</v>
      </c>
      <c r="G71" s="359" t="s">
        <v>91</v>
      </c>
      <c r="I71" s="204" t="s">
        <v>91</v>
      </c>
      <c r="J71" s="92"/>
      <c r="K71" s="92">
        <v>0</v>
      </c>
      <c r="L71" s="92"/>
      <c r="M71" s="91">
        <v>420000000000</v>
      </c>
      <c r="N71" s="92"/>
      <c r="O71" s="91">
        <v>420000000000</v>
      </c>
      <c r="P71" s="92"/>
      <c r="Q71" s="92">
        <f t="shared" si="0"/>
        <v>0</v>
      </c>
      <c r="S71" s="93">
        <f>Q71/درآمدها!$J$5</f>
        <v>0</v>
      </c>
      <c r="T71" s="177"/>
      <c r="U71" s="177"/>
      <c r="V71" s="177"/>
      <c r="W71" s="190"/>
    </row>
    <row r="72" spans="1:23" s="171" customFormat="1" ht="18">
      <c r="A72" s="358" t="s">
        <v>267</v>
      </c>
      <c r="C72" s="359" t="s">
        <v>294</v>
      </c>
      <c r="E72" s="176" t="s">
        <v>106</v>
      </c>
      <c r="G72" s="359" t="s">
        <v>91</v>
      </c>
      <c r="I72" s="207">
        <v>0.22500000000000001</v>
      </c>
      <c r="J72" s="92"/>
      <c r="K72" s="92">
        <v>0</v>
      </c>
      <c r="L72" s="92"/>
      <c r="M72" s="91">
        <v>420000000000</v>
      </c>
      <c r="N72" s="92"/>
      <c r="O72" s="91">
        <v>0</v>
      </c>
      <c r="P72" s="92"/>
      <c r="Q72" s="92">
        <f t="shared" si="0"/>
        <v>420000000000</v>
      </c>
      <c r="S72" s="93">
        <f>Q72/درآمدها!$J$5</f>
        <v>0.14923158378890042</v>
      </c>
      <c r="T72" s="177"/>
      <c r="U72" s="177"/>
      <c r="V72" s="177"/>
      <c r="W72" s="190"/>
    </row>
    <row r="73" spans="1:23" s="171" customFormat="1" ht="18">
      <c r="A73" s="358" t="s">
        <v>225</v>
      </c>
      <c r="C73" s="359" t="s">
        <v>107</v>
      </c>
      <c r="E73" s="176" t="s">
        <v>90</v>
      </c>
      <c r="G73" s="359" t="s">
        <v>91</v>
      </c>
      <c r="I73" s="204" t="s">
        <v>91</v>
      </c>
      <c r="J73" s="92"/>
      <c r="K73" s="92">
        <v>2346630</v>
      </c>
      <c r="L73" s="92"/>
      <c r="M73" s="91">
        <v>9923</v>
      </c>
      <c r="N73" s="92"/>
      <c r="O73" s="91">
        <v>0</v>
      </c>
      <c r="P73" s="92"/>
      <c r="Q73" s="92">
        <f t="shared" si="0"/>
        <v>2356553</v>
      </c>
      <c r="S73" s="93">
        <f>Q73/درآمدها!$J$5</f>
        <v>8.3731461064877299E-7</v>
      </c>
      <c r="T73" s="177"/>
      <c r="U73" s="177"/>
      <c r="V73" s="177"/>
      <c r="W73" s="190"/>
    </row>
    <row r="74" spans="1:23" s="171" customFormat="1" ht="18">
      <c r="A74" s="358" t="s">
        <v>263</v>
      </c>
      <c r="C74" s="359" t="s">
        <v>175</v>
      </c>
      <c r="E74" s="176" t="s">
        <v>176</v>
      </c>
      <c r="G74" s="359" t="s">
        <v>91</v>
      </c>
      <c r="I74" s="204" t="s">
        <v>91</v>
      </c>
      <c r="J74" s="92"/>
      <c r="K74" s="92">
        <v>270424</v>
      </c>
      <c r="L74" s="92"/>
      <c r="M74" s="91">
        <v>0</v>
      </c>
      <c r="N74" s="92"/>
      <c r="O74" s="91">
        <v>0</v>
      </c>
      <c r="P74" s="92"/>
      <c r="Q74" s="92">
        <f t="shared" si="0"/>
        <v>270424</v>
      </c>
      <c r="S74" s="93">
        <f>Q74/درآمدها!$J$5</f>
        <v>9.6085242415546682E-8</v>
      </c>
      <c r="T74" s="177"/>
      <c r="U74" s="177"/>
      <c r="V74" s="177"/>
      <c r="W74" s="190"/>
    </row>
    <row r="75" spans="1:23" s="171" customFormat="1" ht="18">
      <c r="A75" s="358" t="s">
        <v>227</v>
      </c>
      <c r="C75" s="359" t="s">
        <v>170</v>
      </c>
      <c r="E75" s="176" t="s">
        <v>90</v>
      </c>
      <c r="G75" s="359" t="s">
        <v>91</v>
      </c>
      <c r="I75" s="204" t="s">
        <v>91</v>
      </c>
      <c r="J75" s="92"/>
      <c r="K75" s="92">
        <v>669740</v>
      </c>
      <c r="L75" s="92"/>
      <c r="M75" s="91">
        <v>0</v>
      </c>
      <c r="N75" s="92"/>
      <c r="O75" s="91">
        <v>0</v>
      </c>
      <c r="P75" s="92"/>
      <c r="Q75" s="92">
        <f t="shared" si="0"/>
        <v>669740</v>
      </c>
      <c r="S75" s="93">
        <f>Q75/درآمدها!$J$5</f>
        <v>2.379675260161385E-7</v>
      </c>
      <c r="T75" s="177"/>
      <c r="U75" s="177"/>
      <c r="V75" s="177"/>
      <c r="W75" s="190"/>
    </row>
    <row r="76" spans="1:23" s="171" customFormat="1" ht="18">
      <c r="A76" s="358" t="s">
        <v>264</v>
      </c>
      <c r="C76" s="359" t="s">
        <v>295</v>
      </c>
      <c r="E76" s="176" t="s">
        <v>106</v>
      </c>
      <c r="G76" s="359" t="s">
        <v>91</v>
      </c>
      <c r="I76" s="207">
        <v>0.22500000000000001</v>
      </c>
      <c r="J76" s="92"/>
      <c r="K76" s="92">
        <v>0</v>
      </c>
      <c r="L76" s="92"/>
      <c r="M76" s="91">
        <v>0</v>
      </c>
      <c r="N76" s="92"/>
      <c r="O76" s="91">
        <v>0</v>
      </c>
      <c r="P76" s="92"/>
      <c r="Q76" s="92">
        <f t="shared" si="0"/>
        <v>0</v>
      </c>
      <c r="S76" s="93">
        <f>Q76/درآمدها!$J$5</f>
        <v>0</v>
      </c>
      <c r="T76" s="177"/>
      <c r="U76" s="177"/>
      <c r="V76" s="177"/>
      <c r="W76" s="190"/>
    </row>
    <row r="77" spans="1:23" s="171" customFormat="1" ht="18">
      <c r="A77" s="358" t="s">
        <v>222</v>
      </c>
      <c r="C77" s="359" t="s">
        <v>296</v>
      </c>
      <c r="E77" s="176" t="s">
        <v>106</v>
      </c>
      <c r="G77" s="359" t="s">
        <v>91</v>
      </c>
      <c r="I77" s="207">
        <v>0.22500000000000001</v>
      </c>
      <c r="J77" s="92"/>
      <c r="K77" s="92">
        <v>52550000000</v>
      </c>
      <c r="L77" s="92"/>
      <c r="M77" s="91">
        <v>0</v>
      </c>
      <c r="N77" s="92"/>
      <c r="O77" s="91">
        <v>52550000000</v>
      </c>
      <c r="P77" s="92"/>
      <c r="Q77" s="92">
        <f t="shared" si="0"/>
        <v>0</v>
      </c>
      <c r="S77" s="93">
        <f>Q77/درآمدها!$J$5</f>
        <v>0</v>
      </c>
      <c r="T77" s="177"/>
      <c r="U77" s="177"/>
      <c r="V77" s="177"/>
      <c r="W77" s="190"/>
    </row>
    <row r="78" spans="1:23" s="171" customFormat="1" ht="18">
      <c r="A78" s="358" t="s">
        <v>184</v>
      </c>
      <c r="C78" s="359" t="s">
        <v>200</v>
      </c>
      <c r="E78" s="176" t="s">
        <v>106</v>
      </c>
      <c r="G78" s="359" t="s">
        <v>91</v>
      </c>
      <c r="I78" s="207">
        <v>0.22500000000000001</v>
      </c>
      <c r="J78" s="92"/>
      <c r="K78" s="92">
        <v>170000000000</v>
      </c>
      <c r="L78" s="92"/>
      <c r="M78" s="91">
        <v>0</v>
      </c>
      <c r="N78" s="92"/>
      <c r="O78" s="91">
        <v>170000000000</v>
      </c>
      <c r="P78" s="92"/>
      <c r="Q78" s="92">
        <f t="shared" si="0"/>
        <v>0</v>
      </c>
      <c r="S78" s="93">
        <f>Q78/درآمدها!$J$5</f>
        <v>0</v>
      </c>
      <c r="T78" s="177"/>
      <c r="U78" s="177"/>
      <c r="V78" s="177"/>
      <c r="W78" s="190"/>
    </row>
    <row r="79" spans="1:23" s="171" customFormat="1" ht="18">
      <c r="A79" s="358" t="s">
        <v>195</v>
      </c>
      <c r="C79" s="359" t="s">
        <v>201</v>
      </c>
      <c r="E79" s="176" t="s">
        <v>106</v>
      </c>
      <c r="G79" s="359" t="s">
        <v>91</v>
      </c>
      <c r="I79" s="207">
        <v>0.22500000000000001</v>
      </c>
      <c r="J79" s="92"/>
      <c r="K79" s="92">
        <v>24000000000</v>
      </c>
      <c r="L79" s="92"/>
      <c r="M79" s="91">
        <v>0</v>
      </c>
      <c r="N79" s="92"/>
      <c r="O79" s="91">
        <v>24000000000</v>
      </c>
      <c r="P79" s="92"/>
      <c r="Q79" s="92">
        <f t="shared" si="0"/>
        <v>0</v>
      </c>
      <c r="S79" s="93">
        <f>Q79/درآمدها!$J$5</f>
        <v>0</v>
      </c>
      <c r="T79" s="177"/>
      <c r="U79" s="177"/>
      <c r="V79" s="177"/>
      <c r="W79" s="190"/>
    </row>
    <row r="80" spans="1:23" s="171" customFormat="1" ht="18">
      <c r="A80" s="358" t="s">
        <v>194</v>
      </c>
      <c r="C80" s="359" t="s">
        <v>202</v>
      </c>
      <c r="E80" s="176" t="s">
        <v>106</v>
      </c>
      <c r="G80" s="359" t="s">
        <v>91</v>
      </c>
      <c r="I80" s="207">
        <v>0.22500000000000001</v>
      </c>
      <c r="J80" s="92"/>
      <c r="K80" s="92">
        <v>12913000000</v>
      </c>
      <c r="L80" s="92"/>
      <c r="M80" s="91">
        <v>0</v>
      </c>
      <c r="N80" s="92"/>
      <c r="O80" s="91">
        <v>12913000000</v>
      </c>
      <c r="P80" s="92"/>
      <c r="Q80" s="92">
        <f t="shared" si="0"/>
        <v>0</v>
      </c>
      <c r="S80" s="93">
        <f>Q80/درآمدها!$J$5</f>
        <v>0</v>
      </c>
      <c r="T80" s="177"/>
      <c r="U80" s="177"/>
      <c r="V80" s="177"/>
      <c r="W80" s="190"/>
    </row>
    <row r="81" spans="1:23" s="171" customFormat="1" ht="18">
      <c r="A81" s="358" t="s">
        <v>221</v>
      </c>
      <c r="C81" s="359" t="s">
        <v>297</v>
      </c>
      <c r="E81" s="176" t="s">
        <v>106</v>
      </c>
      <c r="G81" s="359" t="s">
        <v>91</v>
      </c>
      <c r="I81" s="207">
        <v>0.22500000000000001</v>
      </c>
      <c r="J81" s="92"/>
      <c r="K81" s="92">
        <v>21670000000</v>
      </c>
      <c r="L81" s="92"/>
      <c r="M81" s="91">
        <v>0</v>
      </c>
      <c r="N81" s="92"/>
      <c r="O81" s="91">
        <v>21670000000</v>
      </c>
      <c r="P81" s="92"/>
      <c r="Q81" s="92">
        <f t="shared" si="0"/>
        <v>0</v>
      </c>
      <c r="S81" s="93">
        <f>Q81/درآمدها!$J$5</f>
        <v>0</v>
      </c>
      <c r="T81" s="177"/>
      <c r="U81" s="177"/>
      <c r="V81" s="177"/>
      <c r="W81" s="190"/>
    </row>
    <row r="82" spans="1:23" s="171" customFormat="1" ht="18">
      <c r="A82" s="358" t="s">
        <v>223</v>
      </c>
      <c r="C82" s="359" t="s">
        <v>298</v>
      </c>
      <c r="E82" s="176" t="s">
        <v>106</v>
      </c>
      <c r="G82" s="359" t="s">
        <v>91</v>
      </c>
      <c r="I82" s="207">
        <v>0.22500000000000001</v>
      </c>
      <c r="J82" s="92"/>
      <c r="K82" s="92">
        <v>30310000000</v>
      </c>
      <c r="L82" s="92"/>
      <c r="M82" s="91">
        <v>0</v>
      </c>
      <c r="N82" s="92"/>
      <c r="O82" s="91">
        <v>30310000000</v>
      </c>
      <c r="P82" s="92"/>
      <c r="Q82" s="92">
        <f t="shared" si="0"/>
        <v>0</v>
      </c>
      <c r="S82" s="93">
        <f>Q82/درآمدها!$J$5</f>
        <v>0</v>
      </c>
      <c r="T82" s="177"/>
      <c r="U82" s="177"/>
      <c r="V82" s="177"/>
      <c r="W82" s="190"/>
    </row>
    <row r="83" spans="1:23" s="171" customFormat="1" ht="18">
      <c r="A83" s="358" t="s">
        <v>224</v>
      </c>
      <c r="C83" s="359" t="s">
        <v>299</v>
      </c>
      <c r="E83" s="176" t="s">
        <v>106</v>
      </c>
      <c r="G83" s="359" t="s">
        <v>91</v>
      </c>
      <c r="I83" s="207">
        <v>0.22500000000000001</v>
      </c>
      <c r="J83" s="92"/>
      <c r="K83" s="92">
        <v>32837000000</v>
      </c>
      <c r="L83" s="92"/>
      <c r="M83" s="91">
        <v>0</v>
      </c>
      <c r="N83" s="92"/>
      <c r="O83" s="91">
        <v>32837000000</v>
      </c>
      <c r="P83" s="92"/>
      <c r="Q83" s="92">
        <f t="shared" si="0"/>
        <v>0</v>
      </c>
      <c r="S83" s="93">
        <f>Q83/درآمدها!$J$5</f>
        <v>0</v>
      </c>
      <c r="T83" s="177"/>
      <c r="U83" s="177"/>
      <c r="V83" s="177"/>
      <c r="W83" s="190"/>
    </row>
    <row r="84" spans="1:23" s="171" customFormat="1" ht="18">
      <c r="A84" s="358" t="s">
        <v>269</v>
      </c>
      <c r="C84" s="359" t="s">
        <v>300</v>
      </c>
      <c r="E84" s="176" t="s">
        <v>106</v>
      </c>
      <c r="G84" s="359" t="s">
        <v>91</v>
      </c>
      <c r="I84" s="207">
        <v>0.22500000000000001</v>
      </c>
      <c r="J84" s="92"/>
      <c r="K84" s="92">
        <v>0</v>
      </c>
      <c r="L84" s="92"/>
      <c r="M84" s="91">
        <v>30000000000</v>
      </c>
      <c r="N84" s="92"/>
      <c r="O84" s="91">
        <v>0</v>
      </c>
      <c r="P84" s="92"/>
      <c r="Q84" s="92">
        <f t="shared" si="0"/>
        <v>30000000000</v>
      </c>
      <c r="S84" s="93">
        <f>Q84/درآمدها!$J$5</f>
        <v>1.0659398842064316E-2</v>
      </c>
      <c r="T84" s="177"/>
      <c r="U84" s="190"/>
      <c r="V84" s="177"/>
      <c r="W84" s="190"/>
    </row>
    <row r="85" spans="1:23" s="171" customFormat="1" ht="18">
      <c r="A85" s="358" t="s">
        <v>266</v>
      </c>
      <c r="C85" s="359" t="s">
        <v>301</v>
      </c>
      <c r="E85" s="176" t="s">
        <v>106</v>
      </c>
      <c r="G85" s="359" t="s">
        <v>91</v>
      </c>
      <c r="I85" s="207">
        <v>0.22500000000000001</v>
      </c>
      <c r="J85" s="92"/>
      <c r="K85" s="92">
        <v>0</v>
      </c>
      <c r="L85" s="92"/>
      <c r="M85" s="91">
        <v>26000000000</v>
      </c>
      <c r="N85" s="92"/>
      <c r="O85" s="91">
        <v>0</v>
      </c>
      <c r="P85" s="92"/>
      <c r="Q85" s="92">
        <f t="shared" si="0"/>
        <v>26000000000</v>
      </c>
      <c r="S85" s="93">
        <f>Q85/درآمدها!$J$5</f>
        <v>9.2381456631224074E-3</v>
      </c>
      <c r="T85" s="177"/>
      <c r="U85" s="190"/>
      <c r="V85" s="177"/>
      <c r="W85" s="190"/>
    </row>
    <row r="86" spans="1:23" s="171" customFormat="1" ht="21.75" customHeight="1">
      <c r="A86" s="358" t="s">
        <v>186</v>
      </c>
      <c r="C86" s="359" t="s">
        <v>204</v>
      </c>
      <c r="E86" s="176" t="s">
        <v>90</v>
      </c>
      <c r="G86" s="359" t="s">
        <v>91</v>
      </c>
      <c r="I86" s="204" t="s">
        <v>91</v>
      </c>
      <c r="J86" s="92"/>
      <c r="K86" s="92">
        <v>136000</v>
      </c>
      <c r="L86" s="92"/>
      <c r="M86" s="91">
        <v>0</v>
      </c>
      <c r="N86" s="92"/>
      <c r="O86" s="91">
        <v>0</v>
      </c>
      <c r="P86" s="92"/>
      <c r="Q86" s="92">
        <f t="shared" si="0"/>
        <v>136000</v>
      </c>
      <c r="S86" s="93">
        <f>Q86/درآمدها!$J$5</f>
        <v>4.8322608084024897E-8</v>
      </c>
      <c r="T86" s="177"/>
      <c r="U86" s="177"/>
      <c r="V86" s="189"/>
      <c r="W86" s="190"/>
    </row>
    <row r="87" spans="1:23" s="171" customFormat="1" ht="21.75" customHeight="1">
      <c r="A87" s="358" t="s">
        <v>185</v>
      </c>
      <c r="C87" s="359" t="s">
        <v>203</v>
      </c>
      <c r="E87" s="176" t="s">
        <v>90</v>
      </c>
      <c r="G87" s="359" t="s">
        <v>91</v>
      </c>
      <c r="I87" s="204" t="s">
        <v>91</v>
      </c>
      <c r="J87" s="92"/>
      <c r="K87" s="92">
        <v>2852263568</v>
      </c>
      <c r="L87" s="92"/>
      <c r="M87" s="91">
        <v>409065374175</v>
      </c>
      <c r="N87" s="92"/>
      <c r="O87" s="91">
        <v>411702874842</v>
      </c>
      <c r="P87" s="92"/>
      <c r="Q87" s="92">
        <f t="shared" si="0"/>
        <v>214762901</v>
      </c>
      <c r="S87" s="93">
        <f>Q87/درآمدها!$J$5</f>
        <v>7.6308113941259113E-5</v>
      </c>
      <c r="T87" s="177"/>
      <c r="U87" s="177"/>
      <c r="V87" s="189"/>
      <c r="W87" s="190"/>
    </row>
    <row r="88" spans="1:23" s="171" customFormat="1" ht="21.75" customHeight="1" thickBot="1">
      <c r="A88" s="358" t="s">
        <v>228</v>
      </c>
      <c r="C88" s="359" t="s">
        <v>109</v>
      </c>
      <c r="E88" s="176" t="s">
        <v>90</v>
      </c>
      <c r="G88" s="359" t="s">
        <v>91</v>
      </c>
      <c r="I88" s="204" t="s">
        <v>91</v>
      </c>
      <c r="J88" s="92"/>
      <c r="K88" s="92">
        <v>559950</v>
      </c>
      <c r="L88" s="92"/>
      <c r="M88" s="91">
        <v>2378</v>
      </c>
      <c r="N88" s="92"/>
      <c r="O88" s="91">
        <v>0</v>
      </c>
      <c r="P88" s="92"/>
      <c r="Q88" s="92">
        <f t="shared" si="0"/>
        <v>562328</v>
      </c>
      <c r="S88" s="93">
        <f>Q88/درآمدها!$J$5</f>
        <v>1.9980261440201143E-7</v>
      </c>
      <c r="T88" s="177"/>
      <c r="U88" s="177"/>
      <c r="V88" s="189"/>
      <c r="W88" s="190"/>
    </row>
    <row r="89" spans="1:23" s="171" customFormat="1" ht="24" customHeight="1" thickBot="1">
      <c r="A89" s="345" t="s">
        <v>2</v>
      </c>
      <c r="B89" s="345"/>
      <c r="C89" s="345"/>
      <c r="D89" s="345"/>
      <c r="E89" s="345"/>
      <c r="F89" s="345"/>
      <c r="G89" s="345"/>
      <c r="H89" s="345"/>
      <c r="I89" s="361"/>
      <c r="J89" s="362"/>
      <c r="K89" s="363">
        <f>SUM(K9:K88)</f>
        <v>862588694367</v>
      </c>
      <c r="M89" s="363">
        <f>SUM(M9:M88)</f>
        <v>4740453046950</v>
      </c>
      <c r="O89" s="363">
        <f>SUM(O9:O88)</f>
        <v>4339949416949</v>
      </c>
      <c r="Q89" s="363">
        <f>SUM(Q9:Q88)</f>
        <v>1263092324368</v>
      </c>
      <c r="S89" s="94">
        <f>SUM(S9:S88)</f>
        <v>0.4487934953262861</v>
      </c>
      <c r="U89" s="177"/>
      <c r="V89" s="190"/>
    </row>
    <row r="90" spans="1:23" ht="18.75" thickTop="1">
      <c r="L90" s="171"/>
      <c r="N90" s="171"/>
      <c r="P90" s="171"/>
      <c r="R90" s="171"/>
    </row>
    <row r="91" spans="1:23" ht="18">
      <c r="L91" s="171"/>
      <c r="N91" s="171"/>
      <c r="P91" s="171"/>
      <c r="R91" s="171"/>
    </row>
    <row r="92" spans="1:23" ht="21.75">
      <c r="K92" s="303"/>
      <c r="L92" s="96"/>
      <c r="M92" s="303"/>
      <c r="N92" s="179"/>
      <c r="O92" s="303"/>
      <c r="P92" s="96"/>
      <c r="Q92" s="303"/>
    </row>
    <row r="93" spans="1:23">
      <c r="K93" s="303"/>
      <c r="M93" s="303"/>
      <c r="O93" s="303"/>
      <c r="Q93" s="303"/>
    </row>
    <row r="94" spans="1:23">
      <c r="M94" s="303"/>
      <c r="N94" s="303"/>
      <c r="O94" s="303"/>
      <c r="P94" s="303"/>
      <c r="Q94" s="303"/>
    </row>
    <row r="95" spans="1:23">
      <c r="L95" s="95"/>
      <c r="M95" s="95"/>
      <c r="N95" s="95"/>
      <c r="O95" s="95"/>
      <c r="P95" s="95"/>
      <c r="Q95" s="95"/>
    </row>
    <row r="96" spans="1:23" ht="15.75">
      <c r="K96" s="146"/>
      <c r="L96" s="365"/>
      <c r="M96" s="146"/>
      <c r="N96" s="365"/>
      <c r="O96" s="146"/>
      <c r="P96" s="365"/>
      <c r="Q96" s="146"/>
    </row>
    <row r="97" spans="13:17">
      <c r="M97" s="95"/>
      <c r="O97" s="95"/>
      <c r="Q97" s="95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honeticPr fontId="58" type="noConversion"/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I7" sqref="I7:I10"/>
    </sheetView>
  </sheetViews>
  <sheetFormatPr defaultColWidth="9.140625" defaultRowHeight="18"/>
  <cols>
    <col min="1" max="1" width="60.140625" style="21" customWidth="1"/>
    <col min="2" max="2" width="1" style="21" customWidth="1"/>
    <col min="3" max="3" width="10.85546875" style="7" bestFit="1" customWidth="1"/>
    <col min="4" max="4" width="1.140625" style="7" customWidth="1"/>
    <col min="5" max="5" width="25.28515625" style="22" bestFit="1" customWidth="1"/>
    <col min="6" max="6" width="1" style="7" customWidth="1"/>
    <col min="7" max="7" width="19.7109375" style="7" customWidth="1"/>
    <col min="8" max="8" width="0.42578125" style="7" customWidth="1"/>
    <col min="9" max="9" width="24.5703125" style="7" customWidth="1"/>
    <col min="10" max="10" width="21.28515625" style="38" bestFit="1" customWidth="1"/>
    <col min="11" max="11" width="21.140625" style="38" bestFit="1" customWidth="1"/>
    <col min="12" max="16384" width="9.140625" style="7"/>
  </cols>
  <sheetData>
    <row r="1" spans="1:13" ht="21">
      <c r="A1" s="228" t="s">
        <v>89</v>
      </c>
      <c r="B1" s="228"/>
      <c r="C1" s="228"/>
      <c r="D1" s="228"/>
      <c r="E1" s="228"/>
      <c r="F1" s="228"/>
      <c r="G1" s="228"/>
      <c r="H1" s="228"/>
      <c r="I1" s="228"/>
      <c r="J1" s="37"/>
      <c r="K1" s="37"/>
    </row>
    <row r="2" spans="1:13" ht="21">
      <c r="A2" s="228" t="s">
        <v>50</v>
      </c>
      <c r="B2" s="228"/>
      <c r="C2" s="228"/>
      <c r="D2" s="228"/>
      <c r="E2" s="228"/>
      <c r="F2" s="228"/>
      <c r="G2" s="228"/>
      <c r="H2" s="228"/>
      <c r="I2" s="228"/>
      <c r="J2" s="191"/>
      <c r="K2" s="192"/>
    </row>
    <row r="3" spans="1:13" ht="21.75" thickBot="1">
      <c r="A3" s="228" t="str">
        <f>سپرده!A3</f>
        <v>برای ماه منتهی به 1402/06/31</v>
      </c>
      <c r="B3" s="228"/>
      <c r="C3" s="228"/>
      <c r="D3" s="228"/>
      <c r="E3" s="228"/>
      <c r="F3" s="228"/>
      <c r="G3" s="228"/>
      <c r="H3" s="228"/>
      <c r="I3" s="228"/>
      <c r="J3" s="192"/>
      <c r="K3" s="192"/>
    </row>
    <row r="4" spans="1:13" ht="21.75" thickBot="1">
      <c r="A4" s="11" t="s">
        <v>27</v>
      </c>
      <c r="B4" s="18"/>
      <c r="C4" s="18"/>
      <c r="D4" s="18"/>
      <c r="E4" s="18"/>
      <c r="F4" s="18"/>
      <c r="G4" s="18"/>
      <c r="H4" s="18"/>
      <c r="I4" s="18"/>
      <c r="J4" s="81">
        <v>450130726755</v>
      </c>
      <c r="K4" s="193" t="s">
        <v>88</v>
      </c>
      <c r="M4" s="136"/>
    </row>
    <row r="5" spans="1:13" ht="21.75" customHeight="1" thickBot="1">
      <c r="A5" s="11"/>
      <c r="B5" s="11"/>
      <c r="C5" s="11"/>
      <c r="D5" s="11"/>
      <c r="E5" s="231" t="s">
        <v>240</v>
      </c>
      <c r="F5" s="231"/>
      <c r="G5" s="231"/>
      <c r="H5" s="231"/>
      <c r="I5" s="231"/>
      <c r="J5" s="81">
        <v>2814417627532</v>
      </c>
      <c r="K5" s="193" t="s">
        <v>110</v>
      </c>
    </row>
    <row r="6" spans="1:13" ht="21.75" customHeight="1" thickBot="1">
      <c r="A6" s="12" t="s">
        <v>38</v>
      </c>
      <c r="B6" s="13"/>
      <c r="C6" s="14" t="s">
        <v>39</v>
      </c>
      <c r="D6" s="10"/>
      <c r="E6" s="15" t="s">
        <v>6</v>
      </c>
      <c r="F6" s="10"/>
      <c r="G6" s="14" t="s">
        <v>19</v>
      </c>
      <c r="H6" s="10"/>
      <c r="I6" s="14" t="s">
        <v>86</v>
      </c>
      <c r="J6" s="194"/>
      <c r="K6" s="195"/>
    </row>
    <row r="7" spans="1:13" ht="21" customHeight="1">
      <c r="A7" s="16" t="s">
        <v>302</v>
      </c>
      <c r="B7" s="16"/>
      <c r="C7" s="17" t="s">
        <v>52</v>
      </c>
      <c r="D7" s="18"/>
      <c r="E7" s="34">
        <f>'درآمد سرمایه گذاری در سهام '!S12</f>
        <v>0</v>
      </c>
      <c r="F7" s="18"/>
      <c r="G7" s="139">
        <f>E7/$E$11*100</f>
        <v>0</v>
      </c>
      <c r="H7" s="19"/>
      <c r="I7" s="33">
        <f>E7/$J$5</f>
        <v>0</v>
      </c>
      <c r="J7" s="196"/>
      <c r="K7" s="196"/>
      <c r="L7" s="123"/>
    </row>
    <row r="8" spans="1:13" ht="18.75" customHeight="1">
      <c r="A8" s="16" t="s">
        <v>47</v>
      </c>
      <c r="B8" s="16"/>
      <c r="C8" s="17" t="s">
        <v>53</v>
      </c>
      <c r="D8" s="18"/>
      <c r="E8" s="134">
        <f>'درآمد سرمایه گذاری در اوراق بها'!Q19</f>
        <v>225355276597</v>
      </c>
      <c r="F8" s="18"/>
      <c r="G8" s="139">
        <f t="shared" ref="G8:G10" si="0">E8/$E$11*100</f>
        <v>50.158505858049139</v>
      </c>
      <c r="H8" s="19"/>
      <c r="I8" s="33">
        <f t="shared" ref="I8:I10" si="1">E8/$J$5</f>
        <v>8.007172581370485E-2</v>
      </c>
      <c r="J8" s="196"/>
      <c r="K8" s="196"/>
      <c r="L8" s="123"/>
    </row>
    <row r="9" spans="1:13" ht="18.75" customHeight="1">
      <c r="A9" s="16" t="s">
        <v>48</v>
      </c>
      <c r="B9" s="16"/>
      <c r="C9" s="17" t="s">
        <v>54</v>
      </c>
      <c r="D9" s="18"/>
      <c r="E9" s="134">
        <f>'درآمد سپرده بانکی'!I84</f>
        <v>223927689604.14917</v>
      </c>
      <c r="F9" s="18"/>
      <c r="G9" s="139">
        <f t="shared" si="0"/>
        <v>49.840760333626235</v>
      </c>
      <c r="H9" s="19"/>
      <c r="I9" s="33">
        <f t="shared" si="1"/>
        <v>7.9564485175753513E-2</v>
      </c>
      <c r="J9" s="196"/>
      <c r="K9" s="177"/>
      <c r="L9" s="123"/>
    </row>
    <row r="10" spans="1:13" ht="19.5" customHeight="1" thickBot="1">
      <c r="A10" s="16" t="s">
        <v>32</v>
      </c>
      <c r="B10" s="16"/>
      <c r="C10" s="17" t="s">
        <v>55</v>
      </c>
      <c r="D10" s="18"/>
      <c r="E10" s="135">
        <f>'سایر درآمدها'!E10</f>
        <v>3296900</v>
      </c>
      <c r="F10" s="18"/>
      <c r="G10" s="139">
        <f t="shared" si="0"/>
        <v>7.3380832461769673E-4</v>
      </c>
      <c r="H10" s="19"/>
      <c r="I10" s="33">
        <f t="shared" si="1"/>
        <v>1.1714324014133947E-6</v>
      </c>
      <c r="J10" s="196"/>
      <c r="K10" s="196"/>
      <c r="L10" s="123"/>
    </row>
    <row r="11" spans="1:13" ht="19.5" customHeight="1" thickBot="1">
      <c r="A11" s="16" t="s">
        <v>2</v>
      </c>
      <c r="B11" s="20"/>
      <c r="C11" s="9"/>
      <c r="D11" s="9"/>
      <c r="E11" s="71">
        <f>SUM(E7:E10)</f>
        <v>449286263101.14917</v>
      </c>
      <c r="F11" s="9"/>
      <c r="G11" s="138">
        <f>SUM(G7:G10)</f>
        <v>99.999999999999986</v>
      </c>
      <c r="H11" s="19"/>
      <c r="I11" s="35">
        <f>SUM(I7:I10)</f>
        <v>0.15963738242185976</v>
      </c>
      <c r="J11" s="196"/>
      <c r="K11" s="196"/>
      <c r="L11" s="123"/>
    </row>
    <row r="12" spans="1:13" ht="18.75" customHeight="1" thickTop="1">
      <c r="J12" s="196"/>
      <c r="K12" s="178"/>
      <c r="L12" s="123"/>
    </row>
    <row r="13" spans="1:13" ht="18" customHeight="1">
      <c r="E13" s="80"/>
      <c r="F13" s="80"/>
      <c r="G13" s="80"/>
      <c r="I13" s="104"/>
      <c r="J13" s="123"/>
      <c r="K13" s="123"/>
      <c r="L13" s="123"/>
    </row>
    <row r="14" spans="1:13" ht="18" customHeight="1">
      <c r="E14" s="80"/>
      <c r="F14" s="80"/>
      <c r="G14" s="80"/>
      <c r="J14" s="123"/>
      <c r="K14" s="123"/>
      <c r="L14" s="123"/>
    </row>
    <row r="15" spans="1:13" ht="18" customHeight="1">
      <c r="E15" s="130"/>
      <c r="F15" s="80"/>
      <c r="G15" s="80"/>
      <c r="H15" s="87"/>
      <c r="J15" s="7"/>
      <c r="K15" s="123"/>
      <c r="L15" s="123"/>
      <c r="M15" s="123"/>
    </row>
    <row r="16" spans="1:13" ht="18" customHeight="1">
      <c r="E16" s="129"/>
      <c r="F16" s="80"/>
      <c r="G16" s="80"/>
      <c r="J16" s="83"/>
      <c r="K16" s="83"/>
    </row>
    <row r="17" spans="3:11" ht="17.45" customHeight="1">
      <c r="E17" s="80"/>
      <c r="F17" s="80"/>
      <c r="G17" s="80"/>
      <c r="J17" s="83"/>
      <c r="K17" s="83"/>
    </row>
    <row r="18" spans="3:11" ht="17.45" customHeight="1">
      <c r="E18" s="80"/>
      <c r="F18" s="80"/>
      <c r="G18" s="80"/>
    </row>
    <row r="19" spans="3:11" ht="17.45" customHeight="1">
      <c r="E19" s="80"/>
    </row>
    <row r="20" spans="3:11">
      <c r="C20" s="131"/>
      <c r="E20" s="131"/>
      <c r="G20" s="131"/>
      <c r="J20" s="131"/>
      <c r="K20" s="132"/>
    </row>
    <row r="21" spans="3:11">
      <c r="C21" s="130"/>
      <c r="G21" s="131"/>
      <c r="J21" s="131"/>
      <c r="K21" s="132"/>
    </row>
    <row r="22" spans="3:11">
      <c r="G22" s="131"/>
    </row>
    <row r="23" spans="3:11">
      <c r="G23" s="130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Z108"/>
  <sheetViews>
    <sheetView rightToLeft="1" view="pageBreakPreview" zoomScale="90" zoomScaleNormal="100" zoomScaleSheetLayoutView="90" workbookViewId="0">
      <selection activeCell="I91" sqref="I91"/>
    </sheetView>
  </sheetViews>
  <sheetFormatPr defaultColWidth="9.140625" defaultRowHeight="30.75" customHeight="1"/>
  <cols>
    <col min="1" max="1" width="50.85546875" style="171" customWidth="1"/>
    <col min="2" max="2" width="0.85546875" style="171" customWidth="1"/>
    <col min="3" max="3" width="14" style="171" customWidth="1"/>
    <col min="4" max="4" width="1.28515625" style="171" customWidth="1"/>
    <col min="5" max="5" width="12.42578125" style="171" customWidth="1"/>
    <col min="6" max="6" width="1" style="171" customWidth="1"/>
    <col min="7" max="7" width="25" style="102" customWidth="1"/>
    <col min="8" max="8" width="0.85546875" style="102" customWidth="1"/>
    <col min="9" max="9" width="25" style="102" customWidth="1"/>
    <col min="10" max="10" width="0.7109375" style="102" customWidth="1"/>
    <col min="11" max="11" width="23.140625" style="102" customWidth="1"/>
    <col min="12" max="12" width="0.7109375" style="102" customWidth="1"/>
    <col min="13" max="13" width="24.42578125" style="102" bestFit="1" customWidth="1"/>
    <col min="14" max="14" width="0.5703125" style="102" customWidth="1"/>
    <col min="15" max="15" width="18.140625" style="102" bestFit="1" customWidth="1"/>
    <col min="16" max="16" width="0.5703125" style="102" customWidth="1"/>
    <col min="17" max="17" width="24.42578125" style="102" bestFit="1" customWidth="1"/>
    <col min="18" max="18" width="16.140625" style="102" customWidth="1"/>
    <col min="19" max="19" width="7.7109375" style="171" customWidth="1"/>
    <col min="20" max="20" width="14" style="171" customWidth="1"/>
    <col min="21" max="21" width="14.42578125" style="171" customWidth="1"/>
    <col min="22" max="23" width="16.5703125" style="171" bestFit="1" customWidth="1"/>
    <col min="24" max="24" width="14.5703125" style="171" bestFit="1" customWidth="1"/>
    <col min="25" max="25" width="9.5703125" style="171" bestFit="1" customWidth="1"/>
    <col min="26" max="26" width="15.42578125" style="171" bestFit="1" customWidth="1"/>
    <col min="27" max="16384" width="9.140625" style="171"/>
  </cols>
  <sheetData>
    <row r="1" spans="1:24" ht="30.75" customHeight="1">
      <c r="A1" s="283" t="s">
        <v>89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73"/>
    </row>
    <row r="2" spans="1:24" ht="30.75" customHeight="1">
      <c r="A2" s="283" t="s">
        <v>56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73"/>
    </row>
    <row r="3" spans="1:24" ht="30.75" customHeight="1">
      <c r="A3" s="283" t="str">
        <f>' سهام'!A3:W3</f>
        <v>برای ماه منتهی به 1402/06/31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73"/>
    </row>
    <row r="4" spans="1:24" ht="30.75" customHeight="1">
      <c r="A4" s="271" t="s">
        <v>64</v>
      </c>
      <c r="B4" s="271"/>
      <c r="C4" s="271"/>
      <c r="D4" s="271"/>
      <c r="E4" s="271"/>
      <c r="F4" s="271"/>
      <c r="G4" s="271"/>
      <c r="H4" s="98"/>
      <c r="I4" s="99"/>
      <c r="J4" s="99"/>
      <c r="K4" s="99"/>
      <c r="L4" s="99"/>
      <c r="M4" s="99"/>
      <c r="N4" s="99"/>
      <c r="O4" s="96"/>
      <c r="P4" s="99"/>
      <c r="Q4" s="99"/>
      <c r="R4" s="273"/>
    </row>
    <row r="5" spans="1:24" ht="30.75" customHeight="1" thickBot="1">
      <c r="A5" s="366"/>
      <c r="B5" s="367"/>
      <c r="C5" s="367"/>
      <c r="D5" s="367"/>
      <c r="E5" s="367"/>
      <c r="F5" s="368"/>
      <c r="G5" s="232" t="s">
        <v>241</v>
      </c>
      <c r="H5" s="232"/>
      <c r="I5" s="232"/>
      <c r="J5" s="232"/>
      <c r="K5" s="232"/>
      <c r="L5" s="99"/>
      <c r="M5" s="232" t="s">
        <v>242</v>
      </c>
      <c r="N5" s="232"/>
      <c r="O5" s="232"/>
      <c r="P5" s="232"/>
      <c r="Q5" s="232"/>
      <c r="R5" s="273"/>
    </row>
    <row r="6" spans="1:24" ht="42" customHeight="1" thickBot="1">
      <c r="A6" s="369" t="s">
        <v>38</v>
      </c>
      <c r="B6" s="370"/>
      <c r="C6" s="371" t="s">
        <v>23</v>
      </c>
      <c r="D6" s="370"/>
      <c r="E6" s="371" t="s">
        <v>35</v>
      </c>
      <c r="F6" s="370"/>
      <c r="G6" s="100" t="s">
        <v>57</v>
      </c>
      <c r="H6" s="101"/>
      <c r="I6" s="100" t="s">
        <v>40</v>
      </c>
      <c r="J6" s="101"/>
      <c r="K6" s="100" t="s">
        <v>41</v>
      </c>
      <c r="L6" s="99"/>
      <c r="M6" s="100" t="s">
        <v>57</v>
      </c>
      <c r="N6" s="101"/>
      <c r="O6" s="100" t="s">
        <v>40</v>
      </c>
      <c r="P6" s="101"/>
      <c r="Q6" s="100" t="s">
        <v>41</v>
      </c>
      <c r="R6" s="273"/>
      <c r="S6" s="372"/>
      <c r="T6" s="373"/>
      <c r="U6" s="190"/>
    </row>
    <row r="7" spans="1:24" ht="30" customHeight="1">
      <c r="A7" s="176" t="s">
        <v>226</v>
      </c>
      <c r="B7" s="370"/>
      <c r="C7" s="374" t="s">
        <v>91</v>
      </c>
      <c r="D7" s="370"/>
      <c r="E7" s="148" cm="1">
        <f t="array" aca="1" ref="E7" ca="1">E7:E211%</f>
        <v>0</v>
      </c>
      <c r="F7" s="370"/>
      <c r="G7" s="96">
        <v>3708623</v>
      </c>
      <c r="H7" s="96"/>
      <c r="I7" s="96">
        <v>0</v>
      </c>
      <c r="J7" s="96"/>
      <c r="K7" s="96">
        <f t="shared" ref="K7:K70" si="0">G7+I7</f>
        <v>3708623</v>
      </c>
      <c r="L7" s="96"/>
      <c r="M7" s="96">
        <v>31510696</v>
      </c>
      <c r="N7" s="96"/>
      <c r="O7" s="96">
        <v>0</v>
      </c>
      <c r="P7" s="96"/>
      <c r="Q7" s="96">
        <f>M7+O7</f>
        <v>31510696</v>
      </c>
      <c r="R7" s="96"/>
      <c r="S7" s="208"/>
      <c r="T7" s="373"/>
      <c r="U7" s="190"/>
    </row>
    <row r="8" spans="1:24" ht="30" customHeight="1">
      <c r="A8" s="176" t="s">
        <v>111</v>
      </c>
      <c r="B8" s="370"/>
      <c r="C8" s="374" t="s">
        <v>112</v>
      </c>
      <c r="D8" s="370"/>
      <c r="E8" s="148"/>
      <c r="F8" s="370"/>
      <c r="G8" s="96">
        <v>0</v>
      </c>
      <c r="H8" s="96"/>
      <c r="I8" s="96">
        <v>0</v>
      </c>
      <c r="J8" s="96"/>
      <c r="K8" s="96">
        <f t="shared" si="0"/>
        <v>0</v>
      </c>
      <c r="L8" s="96"/>
      <c r="M8" s="96">
        <v>59103289518</v>
      </c>
      <c r="N8" s="96"/>
      <c r="O8" s="96">
        <v>0</v>
      </c>
      <c r="P8" s="96"/>
      <c r="Q8" s="96">
        <f t="shared" ref="Q8:Q71" si="1">M8+O8</f>
        <v>59103289518</v>
      </c>
      <c r="R8" s="96"/>
      <c r="S8" s="208"/>
      <c r="T8" s="373"/>
      <c r="U8" s="190"/>
    </row>
    <row r="9" spans="1:24" ht="30" customHeight="1">
      <c r="A9" s="176" t="s">
        <v>103</v>
      </c>
      <c r="B9" s="370"/>
      <c r="C9" s="374" t="s">
        <v>105</v>
      </c>
      <c r="D9" s="370"/>
      <c r="E9" s="148"/>
      <c r="F9" s="370"/>
      <c r="G9" s="96">
        <v>0</v>
      </c>
      <c r="H9" s="96"/>
      <c r="I9" s="96">
        <v>0</v>
      </c>
      <c r="J9" s="96"/>
      <c r="K9" s="96">
        <f t="shared" si="0"/>
        <v>0</v>
      </c>
      <c r="L9" s="96"/>
      <c r="M9" s="96">
        <v>27876399697</v>
      </c>
      <c r="N9" s="96"/>
      <c r="O9" s="96">
        <v>0</v>
      </c>
      <c r="P9" s="96"/>
      <c r="Q9" s="96">
        <f t="shared" si="1"/>
        <v>27876399697</v>
      </c>
      <c r="R9" s="96"/>
      <c r="S9" s="208"/>
      <c r="T9" s="373"/>
      <c r="U9" s="190"/>
    </row>
    <row r="10" spans="1:24" ht="30" customHeight="1">
      <c r="A10" s="176" t="s">
        <v>273</v>
      </c>
      <c r="B10" s="370"/>
      <c r="C10" s="374" t="s">
        <v>91</v>
      </c>
      <c r="D10" s="370"/>
      <c r="E10" s="148">
        <v>0.22500000000000001</v>
      </c>
      <c r="F10" s="370"/>
      <c r="G10" s="96">
        <v>678556375.96153843</v>
      </c>
      <c r="H10" s="96"/>
      <c r="I10" s="96">
        <v>-11222741</v>
      </c>
      <c r="J10" s="96"/>
      <c r="K10" s="96">
        <f t="shared" si="0"/>
        <v>667333634.96153843</v>
      </c>
      <c r="L10" s="96"/>
      <c r="M10" s="96">
        <v>678556375.96153843</v>
      </c>
      <c r="N10" s="96"/>
      <c r="O10" s="96">
        <v>-11222741</v>
      </c>
      <c r="P10" s="96"/>
      <c r="Q10" s="96">
        <f t="shared" si="1"/>
        <v>667333634.96153843</v>
      </c>
      <c r="R10" s="96"/>
      <c r="S10" s="208"/>
      <c r="T10" s="373"/>
      <c r="U10" s="190"/>
    </row>
    <row r="11" spans="1:24" ht="30" customHeight="1">
      <c r="A11" s="176" t="s">
        <v>256</v>
      </c>
      <c r="B11" s="370"/>
      <c r="C11" s="374" t="s">
        <v>91</v>
      </c>
      <c r="D11" s="370"/>
      <c r="E11" s="148">
        <v>0.22500000000000001</v>
      </c>
      <c r="F11" s="370"/>
      <c r="G11" s="96">
        <v>0</v>
      </c>
      <c r="H11" s="96"/>
      <c r="I11" s="96">
        <v>0</v>
      </c>
      <c r="J11" s="96"/>
      <c r="K11" s="96">
        <f t="shared" si="0"/>
        <v>0</v>
      </c>
      <c r="L11" s="96"/>
      <c r="M11" s="96">
        <v>9970685138.9423065</v>
      </c>
      <c r="N11" s="96"/>
      <c r="O11" s="96">
        <v>0</v>
      </c>
      <c r="P11" s="96"/>
      <c r="Q11" s="96">
        <f t="shared" si="1"/>
        <v>9970685138.9423065</v>
      </c>
      <c r="R11" s="147"/>
      <c r="S11" s="208"/>
      <c r="T11" s="373"/>
      <c r="U11" s="190"/>
    </row>
    <row r="12" spans="1:24" ht="30" customHeight="1">
      <c r="A12" s="176" t="s">
        <v>259</v>
      </c>
      <c r="B12" s="370"/>
      <c r="C12" s="374" t="s">
        <v>91</v>
      </c>
      <c r="D12" s="370"/>
      <c r="E12" s="148">
        <v>0.22500000000000001</v>
      </c>
      <c r="F12" s="370"/>
      <c r="G12" s="96">
        <v>0</v>
      </c>
      <c r="H12" s="96"/>
      <c r="I12" s="96">
        <v>0</v>
      </c>
      <c r="J12" s="96"/>
      <c r="K12" s="96">
        <f t="shared" si="0"/>
        <v>0</v>
      </c>
      <c r="L12" s="96"/>
      <c r="M12" s="96">
        <v>739726027.78846145</v>
      </c>
      <c r="N12" s="96"/>
      <c r="O12" s="96">
        <v>0</v>
      </c>
      <c r="P12" s="96"/>
      <c r="Q12" s="96">
        <f t="shared" si="1"/>
        <v>739726027.78846145</v>
      </c>
      <c r="R12" s="147"/>
      <c r="S12" s="208"/>
      <c r="T12" s="373"/>
      <c r="U12" s="190"/>
    </row>
    <row r="13" spans="1:24" ht="30" customHeight="1">
      <c r="A13" s="176" t="s">
        <v>265</v>
      </c>
      <c r="B13" s="370"/>
      <c r="C13" s="374" t="s">
        <v>91</v>
      </c>
      <c r="D13" s="370"/>
      <c r="E13" s="148">
        <v>0.22500000000000001</v>
      </c>
      <c r="F13" s="370"/>
      <c r="G13" s="96">
        <v>0</v>
      </c>
      <c r="H13" s="96"/>
      <c r="I13" s="96">
        <v>0</v>
      </c>
      <c r="J13" s="96"/>
      <c r="K13" s="96">
        <f t="shared" si="0"/>
        <v>0</v>
      </c>
      <c r="L13" s="96"/>
      <c r="M13" s="96">
        <v>901685342.59615386</v>
      </c>
      <c r="N13" s="96"/>
      <c r="O13" s="96">
        <v>0</v>
      </c>
      <c r="P13" s="96"/>
      <c r="Q13" s="96">
        <f t="shared" si="1"/>
        <v>901685342.59615386</v>
      </c>
      <c r="R13" s="147"/>
      <c r="S13" s="208"/>
      <c r="T13" s="373"/>
      <c r="U13" s="190"/>
    </row>
    <row r="14" spans="1:24" s="179" customFormat="1" ht="30.75" customHeight="1">
      <c r="A14" s="176" t="s">
        <v>178</v>
      </c>
      <c r="B14" s="375"/>
      <c r="C14" s="374" t="s">
        <v>91</v>
      </c>
      <c r="E14" s="148">
        <v>0.22500000000000001</v>
      </c>
      <c r="G14" s="96">
        <v>0</v>
      </c>
      <c r="H14" s="96"/>
      <c r="I14" s="96">
        <v>0</v>
      </c>
      <c r="J14" s="96"/>
      <c r="K14" s="96">
        <f t="shared" si="0"/>
        <v>0</v>
      </c>
      <c r="L14" s="96"/>
      <c r="M14" s="96">
        <v>671999177.59615386</v>
      </c>
      <c r="N14" s="96"/>
      <c r="O14" s="96">
        <v>0</v>
      </c>
      <c r="P14" s="96"/>
      <c r="Q14" s="96">
        <f t="shared" si="1"/>
        <v>671999177.59615386</v>
      </c>
      <c r="R14" s="147"/>
      <c r="S14" s="208"/>
      <c r="T14" s="373"/>
      <c r="U14" s="190"/>
      <c r="V14" s="373"/>
      <c r="W14" s="171"/>
      <c r="X14" s="171"/>
    </row>
    <row r="15" spans="1:24" s="179" customFormat="1" ht="30.75" customHeight="1">
      <c r="A15" s="176" t="s">
        <v>182</v>
      </c>
      <c r="B15" s="375"/>
      <c r="C15" s="374" t="s">
        <v>91</v>
      </c>
      <c r="E15" s="148">
        <v>0.22500000000000001</v>
      </c>
      <c r="G15" s="96">
        <v>0</v>
      </c>
      <c r="H15" s="96"/>
      <c r="I15" s="96">
        <v>0</v>
      </c>
      <c r="J15" s="96"/>
      <c r="K15" s="96">
        <f t="shared" si="0"/>
        <v>0</v>
      </c>
      <c r="L15" s="96"/>
      <c r="M15" s="96">
        <v>302054794.61538464</v>
      </c>
      <c r="N15" s="96"/>
      <c r="O15" s="96">
        <v>0</v>
      </c>
      <c r="P15" s="96"/>
      <c r="Q15" s="96">
        <f t="shared" si="1"/>
        <v>302054794.61538464</v>
      </c>
      <c r="R15" s="147"/>
      <c r="S15" s="208"/>
      <c r="T15" s="373"/>
      <c r="U15" s="190"/>
      <c r="V15" s="373"/>
      <c r="W15" s="171"/>
      <c r="X15" s="171"/>
    </row>
    <row r="16" spans="1:24" s="179" customFormat="1" ht="30.75" customHeight="1">
      <c r="A16" s="176" t="s">
        <v>198</v>
      </c>
      <c r="B16" s="375"/>
      <c r="C16" s="374" t="s">
        <v>91</v>
      </c>
      <c r="E16" s="148">
        <v>0.22500000000000001</v>
      </c>
      <c r="G16" s="96">
        <v>0</v>
      </c>
      <c r="H16" s="96"/>
      <c r="I16" s="96">
        <v>0</v>
      </c>
      <c r="J16" s="96"/>
      <c r="K16" s="96">
        <f t="shared" si="0"/>
        <v>0</v>
      </c>
      <c r="L16" s="96"/>
      <c r="M16" s="96">
        <v>2348124657.4038463</v>
      </c>
      <c r="N16" s="96"/>
      <c r="O16" s="96">
        <v>0</v>
      </c>
      <c r="P16" s="96"/>
      <c r="Q16" s="96">
        <f t="shared" si="1"/>
        <v>2348124657.4038463</v>
      </c>
      <c r="R16" s="147"/>
      <c r="S16" s="208"/>
      <c r="T16" s="373"/>
      <c r="U16" s="190"/>
      <c r="V16" s="373"/>
      <c r="W16" s="171"/>
      <c r="X16" s="171"/>
    </row>
    <row r="17" spans="1:24" s="179" customFormat="1" ht="30.75" customHeight="1">
      <c r="A17" s="176" t="s">
        <v>199</v>
      </c>
      <c r="B17" s="375"/>
      <c r="C17" s="374" t="s">
        <v>91</v>
      </c>
      <c r="E17" s="148">
        <v>0.22500000000000001</v>
      </c>
      <c r="G17" s="96">
        <v>0</v>
      </c>
      <c r="H17" s="96"/>
      <c r="I17" s="96">
        <v>0</v>
      </c>
      <c r="J17" s="96"/>
      <c r="K17" s="96">
        <f t="shared" si="0"/>
        <v>0</v>
      </c>
      <c r="L17" s="96"/>
      <c r="M17" s="96">
        <v>827146849.32692313</v>
      </c>
      <c r="N17" s="96"/>
      <c r="O17" s="96">
        <v>0</v>
      </c>
      <c r="P17" s="96"/>
      <c r="Q17" s="96">
        <f t="shared" si="1"/>
        <v>827146849.32692313</v>
      </c>
      <c r="R17" s="147"/>
      <c r="S17" s="208"/>
      <c r="T17" s="373"/>
      <c r="U17" s="190"/>
      <c r="V17" s="373"/>
      <c r="W17" s="171"/>
      <c r="X17" s="171"/>
    </row>
    <row r="18" spans="1:24" s="179" customFormat="1" ht="30.75" customHeight="1">
      <c r="A18" s="176" t="s">
        <v>215</v>
      </c>
      <c r="B18" s="375"/>
      <c r="C18" s="374" t="s">
        <v>91</v>
      </c>
      <c r="E18" s="148">
        <v>0.22500000000000001</v>
      </c>
      <c r="G18" s="96">
        <v>2271205495.3846154</v>
      </c>
      <c r="H18" s="96"/>
      <c r="I18" s="96">
        <v>0</v>
      </c>
      <c r="J18" s="96"/>
      <c r="K18" s="96">
        <f t="shared" si="0"/>
        <v>2271205495.3846154</v>
      </c>
      <c r="L18" s="96"/>
      <c r="M18" s="96">
        <v>5065384936.1538467</v>
      </c>
      <c r="N18" s="96"/>
      <c r="O18" s="96">
        <v>-800677</v>
      </c>
      <c r="P18" s="96"/>
      <c r="Q18" s="96">
        <f t="shared" si="1"/>
        <v>5064584259.1538467</v>
      </c>
      <c r="R18" s="147"/>
      <c r="S18" s="208"/>
      <c r="T18" s="373"/>
      <c r="U18" s="190"/>
      <c r="V18" s="373"/>
      <c r="W18" s="171"/>
      <c r="X18" s="171"/>
    </row>
    <row r="19" spans="1:24" s="179" customFormat="1" ht="30.75" customHeight="1">
      <c r="A19" s="176" t="s">
        <v>216</v>
      </c>
      <c r="B19" s="375"/>
      <c r="C19" s="374" t="s">
        <v>91</v>
      </c>
      <c r="E19" s="148">
        <v>0.22500000000000001</v>
      </c>
      <c r="G19" s="96">
        <v>1019046574.9038461</v>
      </c>
      <c r="H19" s="96"/>
      <c r="I19" s="96">
        <v>-208515</v>
      </c>
      <c r="J19" s="96"/>
      <c r="K19" s="96">
        <f t="shared" si="0"/>
        <v>1018838059.9038461</v>
      </c>
      <c r="L19" s="96"/>
      <c r="M19" s="96">
        <v>1719641093.3653846</v>
      </c>
      <c r="N19" s="96"/>
      <c r="O19" s="96">
        <v>-4795847</v>
      </c>
      <c r="P19" s="96"/>
      <c r="Q19" s="96">
        <f t="shared" si="1"/>
        <v>1714845246.3653846</v>
      </c>
      <c r="R19" s="147"/>
      <c r="S19" s="208"/>
      <c r="T19" s="373"/>
      <c r="U19" s="190"/>
      <c r="V19" s="373"/>
      <c r="W19" s="171"/>
      <c r="X19" s="171"/>
    </row>
    <row r="20" spans="1:24" s="179" customFormat="1" ht="30.75" customHeight="1">
      <c r="A20" s="176" t="s">
        <v>217</v>
      </c>
      <c r="B20" s="375"/>
      <c r="C20" s="374" t="s">
        <v>91</v>
      </c>
      <c r="E20" s="148">
        <v>0.22500000000000001</v>
      </c>
      <c r="G20" s="96">
        <v>203192266.15384614</v>
      </c>
      <c r="H20" s="96"/>
      <c r="I20" s="96">
        <v>0</v>
      </c>
      <c r="J20" s="96"/>
      <c r="K20" s="96">
        <f t="shared" si="0"/>
        <v>203192266.15384614</v>
      </c>
      <c r="L20" s="96"/>
      <c r="M20" s="96">
        <v>222856033.84615386</v>
      </c>
      <c r="N20" s="96"/>
      <c r="O20" s="96">
        <v>-397569</v>
      </c>
      <c r="P20" s="96"/>
      <c r="Q20" s="96">
        <f t="shared" si="1"/>
        <v>222458464.84615386</v>
      </c>
      <c r="R20" s="147"/>
      <c r="S20" s="208"/>
      <c r="T20" s="373"/>
      <c r="U20" s="190"/>
      <c r="V20" s="373"/>
      <c r="W20" s="171"/>
      <c r="X20" s="171"/>
    </row>
    <row r="21" spans="1:24" s="179" customFormat="1" ht="30.75" customHeight="1">
      <c r="A21" s="176" t="s">
        <v>262</v>
      </c>
      <c r="B21" s="375"/>
      <c r="C21" s="374" t="s">
        <v>91</v>
      </c>
      <c r="E21" s="148">
        <v>0.22500000000000001</v>
      </c>
      <c r="G21" s="96">
        <v>0</v>
      </c>
      <c r="H21" s="96"/>
      <c r="I21" s="96">
        <v>0</v>
      </c>
      <c r="J21" s="96"/>
      <c r="K21" s="96">
        <f t="shared" si="0"/>
        <v>0</v>
      </c>
      <c r="L21" s="96"/>
      <c r="M21" s="96">
        <v>6428819.3478260869</v>
      </c>
      <c r="N21" s="96"/>
      <c r="O21" s="96">
        <v>0</v>
      </c>
      <c r="P21" s="96"/>
      <c r="Q21" s="96">
        <f t="shared" si="1"/>
        <v>6428819.3478260869</v>
      </c>
      <c r="R21" s="147"/>
      <c r="S21" s="208"/>
      <c r="T21" s="373"/>
      <c r="U21" s="190"/>
      <c r="V21" s="373"/>
      <c r="W21" s="171"/>
      <c r="X21" s="171"/>
    </row>
    <row r="22" spans="1:24" s="179" customFormat="1" ht="30.75" customHeight="1">
      <c r="A22" s="176" t="s">
        <v>260</v>
      </c>
      <c r="B22" s="375"/>
      <c r="C22" s="374" t="s">
        <v>91</v>
      </c>
      <c r="E22" s="148">
        <v>0.22500000000000001</v>
      </c>
      <c r="G22" s="96">
        <v>0</v>
      </c>
      <c r="H22" s="96"/>
      <c r="I22" s="96">
        <v>0</v>
      </c>
      <c r="J22" s="96"/>
      <c r="K22" s="96">
        <f t="shared" si="0"/>
        <v>0</v>
      </c>
      <c r="L22" s="96"/>
      <c r="M22" s="96">
        <v>42272866.956521742</v>
      </c>
      <c r="N22" s="96"/>
      <c r="O22" s="96">
        <v>0</v>
      </c>
      <c r="P22" s="96"/>
      <c r="Q22" s="96">
        <f t="shared" si="1"/>
        <v>42272866.956521742</v>
      </c>
      <c r="R22" s="147"/>
      <c r="S22" s="208"/>
      <c r="T22" s="373"/>
      <c r="U22" s="190"/>
      <c r="V22" s="373"/>
      <c r="W22" s="171"/>
      <c r="X22" s="171"/>
    </row>
    <row r="23" spans="1:24" s="179" customFormat="1" ht="30.75" customHeight="1">
      <c r="A23" s="176" t="s">
        <v>257</v>
      </c>
      <c r="B23" s="375"/>
      <c r="C23" s="374" t="s">
        <v>91</v>
      </c>
      <c r="E23" s="148">
        <v>0.22500000000000001</v>
      </c>
      <c r="G23" s="96">
        <v>0</v>
      </c>
      <c r="H23" s="96"/>
      <c r="I23" s="96">
        <v>0</v>
      </c>
      <c r="J23" s="96"/>
      <c r="K23" s="96">
        <f t="shared" si="0"/>
        <v>0</v>
      </c>
      <c r="L23" s="96"/>
      <c r="M23" s="96">
        <v>59635978.043478265</v>
      </c>
      <c r="N23" s="96"/>
      <c r="O23" s="96">
        <v>0</v>
      </c>
      <c r="P23" s="96"/>
      <c r="Q23" s="96">
        <f t="shared" si="1"/>
        <v>59635978.043478265</v>
      </c>
      <c r="R23" s="147"/>
      <c r="S23" s="208"/>
      <c r="T23" s="373"/>
      <c r="U23" s="190"/>
      <c r="V23" s="373"/>
      <c r="W23" s="171"/>
      <c r="X23" s="171"/>
    </row>
    <row r="24" spans="1:24" s="179" customFormat="1" ht="30.75" customHeight="1">
      <c r="A24" s="176" t="s">
        <v>270</v>
      </c>
      <c r="B24" s="375"/>
      <c r="C24" s="374" t="s">
        <v>91</v>
      </c>
      <c r="E24" s="148">
        <v>0.22500000000000001</v>
      </c>
      <c r="G24" s="96">
        <v>410547942.16981131</v>
      </c>
      <c r="H24" s="96"/>
      <c r="I24" s="96">
        <v>-7261528</v>
      </c>
      <c r="J24" s="96"/>
      <c r="K24" s="96">
        <f t="shared" si="0"/>
        <v>403286414.16981131</v>
      </c>
      <c r="L24" s="96"/>
      <c r="M24" s="96">
        <v>410547942.16981131</v>
      </c>
      <c r="N24" s="96"/>
      <c r="O24" s="96">
        <v>-7261528</v>
      </c>
      <c r="P24" s="96"/>
      <c r="Q24" s="96">
        <f t="shared" si="1"/>
        <v>403286414.16981131</v>
      </c>
      <c r="R24" s="96"/>
      <c r="S24" s="208"/>
      <c r="T24" s="373"/>
      <c r="U24" s="190"/>
      <c r="V24" s="373"/>
      <c r="W24" s="171"/>
      <c r="X24" s="171"/>
    </row>
    <row r="25" spans="1:24" s="179" customFormat="1" ht="30.75" customHeight="1">
      <c r="A25" s="176" t="s">
        <v>220</v>
      </c>
      <c r="B25" s="375"/>
      <c r="C25" s="374" t="s">
        <v>91</v>
      </c>
      <c r="E25" s="148" t="s">
        <v>91</v>
      </c>
      <c r="G25" s="96">
        <f>6173+721964189</f>
        <v>721970362</v>
      </c>
      <c r="H25" s="96"/>
      <c r="I25" s="96">
        <v>0</v>
      </c>
      <c r="J25" s="96"/>
      <c r="K25" s="96">
        <f t="shared" si="0"/>
        <v>721970362</v>
      </c>
      <c r="L25" s="96"/>
      <c r="M25" s="96">
        <f>445206+5783124811</f>
        <v>5783570017</v>
      </c>
      <c r="N25" s="96"/>
      <c r="O25" s="96">
        <v>0</v>
      </c>
      <c r="P25" s="96"/>
      <c r="Q25" s="96">
        <f t="shared" si="1"/>
        <v>5783570017</v>
      </c>
      <c r="R25" s="96"/>
      <c r="S25" s="208"/>
      <c r="T25" s="373"/>
      <c r="U25" s="190"/>
      <c r="V25" s="373"/>
      <c r="W25" s="171"/>
      <c r="X25" s="171"/>
    </row>
    <row r="26" spans="1:24" s="179" customFormat="1" ht="30.75" customHeight="1">
      <c r="A26" s="176" t="s">
        <v>131</v>
      </c>
      <c r="B26" s="375"/>
      <c r="C26" s="374" t="s">
        <v>91</v>
      </c>
      <c r="E26" s="148">
        <v>0.22500000000000001</v>
      </c>
      <c r="G26" s="96">
        <v>0</v>
      </c>
      <c r="H26" s="96"/>
      <c r="I26" s="96">
        <v>0</v>
      </c>
      <c r="J26" s="96"/>
      <c r="K26" s="96">
        <f t="shared" si="0"/>
        <v>0</v>
      </c>
      <c r="L26" s="96"/>
      <c r="M26" s="96">
        <v>152248605.65217394</v>
      </c>
      <c r="N26" s="96"/>
      <c r="O26" s="96">
        <v>0</v>
      </c>
      <c r="P26" s="96"/>
      <c r="Q26" s="96">
        <f t="shared" si="1"/>
        <v>152248605.65217394</v>
      </c>
      <c r="R26" s="96"/>
      <c r="S26" s="208"/>
      <c r="T26" s="373"/>
      <c r="U26" s="190"/>
      <c r="V26" s="373"/>
      <c r="W26" s="171"/>
      <c r="X26" s="171"/>
    </row>
    <row r="27" spans="1:24" s="179" customFormat="1" ht="30.75" customHeight="1">
      <c r="A27" s="176" t="s">
        <v>132</v>
      </c>
      <c r="B27" s="375"/>
      <c r="C27" s="374" t="s">
        <v>91</v>
      </c>
      <c r="E27" s="148">
        <v>0.22500000000000001</v>
      </c>
      <c r="G27" s="96">
        <v>0</v>
      </c>
      <c r="H27" s="96"/>
      <c r="I27" s="96">
        <v>0</v>
      </c>
      <c r="J27" s="96"/>
      <c r="K27" s="96">
        <f t="shared" si="0"/>
        <v>0</v>
      </c>
      <c r="L27" s="96"/>
      <c r="M27" s="96">
        <v>596096702.60869563</v>
      </c>
      <c r="N27" s="96"/>
      <c r="O27" s="96">
        <v>0</v>
      </c>
      <c r="P27" s="96"/>
      <c r="Q27" s="96">
        <f t="shared" si="1"/>
        <v>596096702.60869563</v>
      </c>
      <c r="R27" s="96"/>
      <c r="S27" s="208"/>
      <c r="T27" s="373"/>
      <c r="U27" s="190"/>
      <c r="V27" s="373"/>
      <c r="W27" s="171"/>
      <c r="X27" s="171"/>
    </row>
    <row r="28" spans="1:24" s="179" customFormat="1" ht="30.75" customHeight="1">
      <c r="A28" s="176" t="s">
        <v>133</v>
      </c>
      <c r="B28" s="375"/>
      <c r="C28" s="374" t="s">
        <v>91</v>
      </c>
      <c r="E28" s="148">
        <v>0.22500000000000001</v>
      </c>
      <c r="G28" s="96">
        <v>0</v>
      </c>
      <c r="H28" s="96"/>
      <c r="I28" s="96">
        <v>0</v>
      </c>
      <c r="J28" s="96"/>
      <c r="K28" s="96">
        <f t="shared" si="0"/>
        <v>0</v>
      </c>
      <c r="L28" s="96"/>
      <c r="M28" s="96">
        <v>632821551.84782612</v>
      </c>
      <c r="N28" s="96"/>
      <c r="O28" s="96">
        <v>0</v>
      </c>
      <c r="P28" s="96"/>
      <c r="Q28" s="96">
        <f t="shared" si="1"/>
        <v>632821551.84782612</v>
      </c>
      <c r="R28" s="96"/>
      <c r="S28" s="208"/>
      <c r="T28" s="373"/>
      <c r="U28" s="190"/>
      <c r="V28" s="373"/>
      <c r="W28" s="171"/>
      <c r="X28" s="171"/>
    </row>
    <row r="29" spans="1:24" s="179" customFormat="1" ht="30.75" customHeight="1">
      <c r="A29" s="176" t="s">
        <v>134</v>
      </c>
      <c r="B29" s="375"/>
      <c r="C29" s="374" t="s">
        <v>91</v>
      </c>
      <c r="E29" s="148">
        <v>0.22500000000000001</v>
      </c>
      <c r="G29" s="96">
        <v>0</v>
      </c>
      <c r="H29" s="96"/>
      <c r="I29" s="96">
        <v>0</v>
      </c>
      <c r="J29" s="96"/>
      <c r="K29" s="96">
        <f t="shared" si="0"/>
        <v>0</v>
      </c>
      <c r="L29" s="96"/>
      <c r="M29" s="96">
        <v>1805866491.521739</v>
      </c>
      <c r="N29" s="96"/>
      <c r="O29" s="96">
        <v>0</v>
      </c>
      <c r="P29" s="96"/>
      <c r="Q29" s="96">
        <f t="shared" si="1"/>
        <v>1805866491.521739</v>
      </c>
      <c r="R29" s="96"/>
      <c r="S29" s="208"/>
      <c r="T29" s="373"/>
      <c r="U29" s="190"/>
      <c r="V29" s="373"/>
      <c r="W29" s="171"/>
      <c r="X29" s="171"/>
    </row>
    <row r="30" spans="1:24" s="179" customFormat="1" ht="30.75" customHeight="1">
      <c r="A30" s="176" t="s">
        <v>135</v>
      </c>
      <c r="B30" s="375"/>
      <c r="C30" s="374" t="s">
        <v>91</v>
      </c>
      <c r="E30" s="148">
        <v>0.22500000000000001</v>
      </c>
      <c r="G30" s="96">
        <v>0</v>
      </c>
      <c r="H30" s="96"/>
      <c r="I30" s="96">
        <v>0</v>
      </c>
      <c r="J30" s="96"/>
      <c r="K30" s="96">
        <f t="shared" si="0"/>
        <v>0</v>
      </c>
      <c r="L30" s="96"/>
      <c r="M30" s="96">
        <v>411097604.67391306</v>
      </c>
      <c r="N30" s="96"/>
      <c r="O30" s="96">
        <v>0</v>
      </c>
      <c r="P30" s="96"/>
      <c r="Q30" s="96">
        <f t="shared" si="1"/>
        <v>411097604.67391306</v>
      </c>
      <c r="R30" s="96"/>
      <c r="S30" s="208"/>
      <c r="T30" s="373"/>
      <c r="U30" s="190"/>
      <c r="V30" s="373"/>
      <c r="W30" s="171"/>
      <c r="X30" s="171"/>
    </row>
    <row r="31" spans="1:24" s="179" customFormat="1" ht="30.75" customHeight="1">
      <c r="A31" s="176" t="s">
        <v>136</v>
      </c>
      <c r="B31" s="375"/>
      <c r="C31" s="374" t="s">
        <v>91</v>
      </c>
      <c r="E31" s="148">
        <v>0.22500000000000001</v>
      </c>
      <c r="G31" s="96">
        <v>0</v>
      </c>
      <c r="H31" s="96"/>
      <c r="I31" s="96">
        <v>0</v>
      </c>
      <c r="J31" s="96"/>
      <c r="K31" s="96">
        <f t="shared" si="0"/>
        <v>0</v>
      </c>
      <c r="L31" s="96"/>
      <c r="M31" s="96">
        <v>177067831.30434784</v>
      </c>
      <c r="N31" s="96"/>
      <c r="O31" s="96">
        <v>0</v>
      </c>
      <c r="P31" s="96"/>
      <c r="Q31" s="96">
        <f t="shared" si="1"/>
        <v>177067831.30434784</v>
      </c>
      <c r="R31" s="96"/>
      <c r="S31" s="208"/>
      <c r="T31" s="373"/>
      <c r="U31" s="190"/>
      <c r="V31" s="373"/>
      <c r="W31" s="171"/>
      <c r="X31" s="171"/>
    </row>
    <row r="32" spans="1:24" s="179" customFormat="1" ht="30.75" customHeight="1">
      <c r="A32" s="176" t="s">
        <v>137</v>
      </c>
      <c r="B32" s="375"/>
      <c r="C32" s="374" t="s">
        <v>91</v>
      </c>
      <c r="E32" s="148">
        <v>0.22500000000000001</v>
      </c>
      <c r="G32" s="96">
        <v>0</v>
      </c>
      <c r="H32" s="96"/>
      <c r="I32" s="96">
        <v>0</v>
      </c>
      <c r="J32" s="96"/>
      <c r="K32" s="96">
        <f t="shared" si="0"/>
        <v>0</v>
      </c>
      <c r="L32" s="96"/>
      <c r="M32" s="96">
        <v>563461456.30434787</v>
      </c>
      <c r="N32" s="96"/>
      <c r="O32" s="96">
        <v>0</v>
      </c>
      <c r="P32" s="96"/>
      <c r="Q32" s="96">
        <f t="shared" si="1"/>
        <v>563461456.30434787</v>
      </c>
      <c r="R32" s="96"/>
      <c r="S32" s="208"/>
      <c r="T32" s="373"/>
      <c r="U32" s="190"/>
      <c r="V32" s="373"/>
      <c r="W32" s="171"/>
      <c r="X32" s="171"/>
    </row>
    <row r="33" spans="1:26" s="179" customFormat="1" ht="30.75" customHeight="1">
      <c r="A33" s="176" t="s">
        <v>138</v>
      </c>
      <c r="B33" s="375"/>
      <c r="C33" s="374" t="s">
        <v>91</v>
      </c>
      <c r="E33" s="148">
        <v>0.22500000000000001</v>
      </c>
      <c r="G33" s="96">
        <v>0</v>
      </c>
      <c r="H33" s="96"/>
      <c r="I33" s="96">
        <v>0</v>
      </c>
      <c r="J33" s="96"/>
      <c r="K33" s="96">
        <f t="shared" si="0"/>
        <v>0</v>
      </c>
      <c r="L33" s="96"/>
      <c r="M33" s="96">
        <v>294648955.43478262</v>
      </c>
      <c r="N33" s="96"/>
      <c r="O33" s="96">
        <v>0</v>
      </c>
      <c r="P33" s="96"/>
      <c r="Q33" s="96">
        <f t="shared" si="1"/>
        <v>294648955.43478262</v>
      </c>
      <c r="R33" s="96"/>
      <c r="S33" s="208"/>
      <c r="T33" s="373"/>
      <c r="U33" s="190"/>
      <c r="V33" s="373"/>
      <c r="W33" s="171"/>
      <c r="X33" s="171"/>
    </row>
    <row r="34" spans="1:26" s="179" customFormat="1" ht="30.75" customHeight="1">
      <c r="A34" s="176" t="s">
        <v>139</v>
      </c>
      <c r="B34" s="375"/>
      <c r="C34" s="374" t="s">
        <v>91</v>
      </c>
      <c r="E34" s="148">
        <v>0.22500000000000001</v>
      </c>
      <c r="G34" s="96">
        <v>0</v>
      </c>
      <c r="H34" s="96"/>
      <c r="I34" s="96">
        <v>0</v>
      </c>
      <c r="J34" s="96"/>
      <c r="K34" s="96">
        <f t="shared" si="0"/>
        <v>0</v>
      </c>
      <c r="L34" s="96"/>
      <c r="M34" s="96">
        <v>306789858.75000006</v>
      </c>
      <c r="N34" s="96"/>
      <c r="O34" s="96">
        <v>0</v>
      </c>
      <c r="P34" s="96"/>
      <c r="Q34" s="96">
        <f t="shared" si="1"/>
        <v>306789858.75000006</v>
      </c>
      <c r="R34" s="96"/>
      <c r="S34" s="208"/>
      <c r="T34" s="373"/>
      <c r="U34" s="190"/>
      <c r="V34" s="373"/>
      <c r="W34" s="171"/>
      <c r="X34" s="171"/>
    </row>
    <row r="35" spans="1:26" s="179" customFormat="1" ht="30.75" customHeight="1">
      <c r="A35" s="176" t="s">
        <v>229</v>
      </c>
      <c r="B35" s="375"/>
      <c r="C35" s="374" t="s">
        <v>91</v>
      </c>
      <c r="E35" s="148">
        <v>0.22500000000000001</v>
      </c>
      <c r="G35" s="96">
        <v>0</v>
      </c>
      <c r="H35" s="96"/>
      <c r="I35" s="96">
        <v>0</v>
      </c>
      <c r="J35" s="96"/>
      <c r="K35" s="96">
        <f t="shared" si="0"/>
        <v>0</v>
      </c>
      <c r="L35" s="96"/>
      <c r="M35" s="96">
        <v>4228956.1956521738</v>
      </c>
      <c r="N35" s="96"/>
      <c r="O35" s="96">
        <v>0</v>
      </c>
      <c r="P35" s="96"/>
      <c r="Q35" s="96">
        <f t="shared" si="1"/>
        <v>4228956.1956521738</v>
      </c>
      <c r="R35" s="96"/>
      <c r="S35" s="208"/>
      <c r="T35" s="373"/>
      <c r="U35" s="190"/>
      <c r="V35" s="373"/>
      <c r="W35" s="171"/>
      <c r="X35" s="171"/>
    </row>
    <row r="36" spans="1:26" s="179" customFormat="1" ht="30.75" customHeight="1">
      <c r="A36" s="176" t="s">
        <v>230</v>
      </c>
      <c r="B36" s="375"/>
      <c r="C36" s="374" t="s">
        <v>91</v>
      </c>
      <c r="E36" s="133">
        <v>0.22500000000000001</v>
      </c>
      <c r="G36" s="96">
        <v>0</v>
      </c>
      <c r="H36" s="96"/>
      <c r="I36" s="96">
        <v>0</v>
      </c>
      <c r="J36" s="96"/>
      <c r="K36" s="96">
        <f t="shared" si="0"/>
        <v>0</v>
      </c>
      <c r="L36" s="96"/>
      <c r="M36" s="372">
        <v>1378686.5217391304</v>
      </c>
      <c r="N36" s="96"/>
      <c r="O36" s="96">
        <v>0</v>
      </c>
      <c r="P36" s="96"/>
      <c r="Q36" s="96">
        <f t="shared" si="1"/>
        <v>1378686.5217391304</v>
      </c>
      <c r="R36" s="96"/>
      <c r="S36" s="208"/>
      <c r="T36" s="373"/>
      <c r="U36" s="190"/>
      <c r="V36" s="373"/>
      <c r="W36" s="171"/>
      <c r="X36" s="171"/>
      <c r="Y36" s="144"/>
      <c r="Z36" s="372"/>
    </row>
    <row r="37" spans="1:26" s="179" customFormat="1" ht="30.75" customHeight="1">
      <c r="A37" s="176" t="s">
        <v>231</v>
      </c>
      <c r="B37" s="375"/>
      <c r="C37" s="374" t="s">
        <v>91</v>
      </c>
      <c r="E37" s="148">
        <v>0.22500000000000001</v>
      </c>
      <c r="G37" s="96">
        <v>0</v>
      </c>
      <c r="H37" s="96"/>
      <c r="I37" s="96">
        <v>0</v>
      </c>
      <c r="J37" s="96"/>
      <c r="K37" s="96">
        <f t="shared" si="0"/>
        <v>0</v>
      </c>
      <c r="L37" s="96"/>
      <c r="M37" s="372">
        <v>1178398.3695652173</v>
      </c>
      <c r="N37" s="96"/>
      <c r="O37" s="96">
        <v>0</v>
      </c>
      <c r="P37" s="96"/>
      <c r="Q37" s="96">
        <f t="shared" si="1"/>
        <v>1178398.3695652173</v>
      </c>
      <c r="R37" s="147"/>
      <c r="S37" s="208"/>
      <c r="T37" s="373"/>
      <c r="U37" s="190"/>
      <c r="V37" s="372"/>
      <c r="W37" s="171"/>
      <c r="X37" s="171"/>
      <c r="Y37" s="144"/>
      <c r="Z37" s="372"/>
    </row>
    <row r="38" spans="1:26" s="179" customFormat="1" ht="30.75" customHeight="1">
      <c r="A38" s="176" t="s">
        <v>232</v>
      </c>
      <c r="B38" s="375"/>
      <c r="C38" s="374" t="s">
        <v>91</v>
      </c>
      <c r="E38" s="148">
        <v>0.22500000000000001</v>
      </c>
      <c r="G38" s="96">
        <v>0</v>
      </c>
      <c r="H38" s="96"/>
      <c r="I38" s="96">
        <v>0</v>
      </c>
      <c r="J38" s="96"/>
      <c r="K38" s="96">
        <f t="shared" si="0"/>
        <v>0</v>
      </c>
      <c r="L38" s="96"/>
      <c r="M38" s="372">
        <v>3840706.9565217388</v>
      </c>
      <c r="N38" s="96"/>
      <c r="O38" s="96">
        <v>0</v>
      </c>
      <c r="P38" s="96"/>
      <c r="Q38" s="96">
        <f t="shared" si="1"/>
        <v>3840706.9565217388</v>
      </c>
      <c r="R38" s="147"/>
      <c r="S38" s="208"/>
      <c r="T38" s="373"/>
      <c r="U38" s="190"/>
      <c r="V38" s="372"/>
      <c r="W38" s="171"/>
      <c r="X38" s="171"/>
      <c r="Y38" s="144"/>
      <c r="Z38" s="372"/>
    </row>
    <row r="39" spans="1:26" s="179" customFormat="1" ht="30.75" customHeight="1">
      <c r="A39" s="176" t="s">
        <v>113</v>
      </c>
      <c r="B39" s="375"/>
      <c r="C39" s="374" t="s">
        <v>91</v>
      </c>
      <c r="E39" s="148">
        <v>0.22500000000000001</v>
      </c>
      <c r="G39" s="96">
        <v>0</v>
      </c>
      <c r="H39" s="96"/>
      <c r="I39" s="96">
        <v>0</v>
      </c>
      <c r="J39" s="96"/>
      <c r="K39" s="96">
        <f t="shared" si="0"/>
        <v>0</v>
      </c>
      <c r="L39" s="96"/>
      <c r="M39" s="372">
        <v>678445934.673913</v>
      </c>
      <c r="N39" s="96"/>
      <c r="O39" s="96">
        <v>0</v>
      </c>
      <c r="P39" s="96"/>
      <c r="Q39" s="96">
        <f t="shared" si="1"/>
        <v>678445934.673913</v>
      </c>
      <c r="R39" s="96"/>
      <c r="S39" s="208"/>
      <c r="T39" s="373"/>
      <c r="U39" s="190"/>
      <c r="V39" s="372"/>
      <c r="W39" s="171"/>
      <c r="X39" s="171"/>
      <c r="Y39" s="144"/>
      <c r="Z39" s="372"/>
    </row>
    <row r="40" spans="1:26" s="179" customFormat="1" ht="30.75" customHeight="1">
      <c r="A40" s="176" t="s">
        <v>130</v>
      </c>
      <c r="B40" s="375"/>
      <c r="C40" s="374" t="s">
        <v>91</v>
      </c>
      <c r="E40" s="148">
        <v>0.22500000000000001</v>
      </c>
      <c r="G40" s="96">
        <v>0</v>
      </c>
      <c r="H40" s="96"/>
      <c r="I40" s="96">
        <v>0</v>
      </c>
      <c r="J40" s="96"/>
      <c r="K40" s="96">
        <f t="shared" si="0"/>
        <v>0</v>
      </c>
      <c r="L40" s="96"/>
      <c r="M40" s="372">
        <v>174872202.06521738</v>
      </c>
      <c r="N40" s="96"/>
      <c r="O40" s="96">
        <v>0</v>
      </c>
      <c r="P40" s="96"/>
      <c r="Q40" s="96">
        <f t="shared" si="1"/>
        <v>174872202.06521738</v>
      </c>
      <c r="S40" s="208"/>
      <c r="T40" s="373"/>
      <c r="U40" s="190"/>
      <c r="V40" s="372"/>
      <c r="W40" s="171"/>
      <c r="X40" s="171"/>
      <c r="Y40" s="144"/>
      <c r="Z40" s="372"/>
    </row>
    <row r="41" spans="1:26" s="179" customFormat="1" ht="30.75" customHeight="1">
      <c r="A41" s="176" t="s">
        <v>258</v>
      </c>
      <c r="B41" s="375"/>
      <c r="C41" s="374" t="s">
        <v>91</v>
      </c>
      <c r="E41" s="148">
        <v>0.22500000000000001</v>
      </c>
      <c r="G41" s="96">
        <v>0</v>
      </c>
      <c r="H41" s="96"/>
      <c r="I41" s="96">
        <v>0</v>
      </c>
      <c r="J41" s="96"/>
      <c r="K41" s="96">
        <f t="shared" si="0"/>
        <v>0</v>
      </c>
      <c r="L41" s="96"/>
      <c r="M41" s="372">
        <v>12327892662.115385</v>
      </c>
      <c r="N41" s="96"/>
      <c r="O41" s="96">
        <v>0</v>
      </c>
      <c r="P41" s="96"/>
      <c r="Q41" s="96">
        <f t="shared" si="1"/>
        <v>12327892662.115385</v>
      </c>
      <c r="S41" s="208"/>
      <c r="T41" s="373"/>
      <c r="U41" s="190"/>
      <c r="V41" s="372"/>
      <c r="W41" s="171"/>
      <c r="X41" s="171"/>
      <c r="Y41" s="144"/>
      <c r="Z41" s="372"/>
    </row>
    <row r="42" spans="1:26" s="179" customFormat="1" ht="30.75" customHeight="1">
      <c r="A42" s="176" t="s">
        <v>154</v>
      </c>
      <c r="B42" s="375"/>
      <c r="C42" s="374" t="s">
        <v>91</v>
      </c>
      <c r="E42" s="148">
        <v>0.22500000000000001</v>
      </c>
      <c r="G42" s="96">
        <v>0</v>
      </c>
      <c r="H42" s="96"/>
      <c r="I42" s="96">
        <v>0</v>
      </c>
      <c r="J42" s="96"/>
      <c r="K42" s="96">
        <f t="shared" si="0"/>
        <v>0</v>
      </c>
      <c r="L42" s="96"/>
      <c r="M42" s="372">
        <v>1062900764.1346154</v>
      </c>
      <c r="N42" s="96"/>
      <c r="O42" s="96">
        <v>0</v>
      </c>
      <c r="P42" s="96"/>
      <c r="Q42" s="96">
        <f t="shared" si="1"/>
        <v>1062900764.1346154</v>
      </c>
      <c r="S42" s="208"/>
      <c r="T42" s="373"/>
      <c r="U42" s="190"/>
      <c r="V42" s="372"/>
      <c r="W42" s="171"/>
      <c r="X42" s="171"/>
      <c r="Y42" s="144"/>
      <c r="Z42" s="372"/>
    </row>
    <row r="43" spans="1:26" s="179" customFormat="1" ht="30.75" customHeight="1">
      <c r="A43" s="176" t="s">
        <v>207</v>
      </c>
      <c r="B43" s="375"/>
      <c r="C43" s="374" t="s">
        <v>91</v>
      </c>
      <c r="E43" s="148">
        <v>0.22500000000000001</v>
      </c>
      <c r="G43" s="96">
        <v>151773289.61538464</v>
      </c>
      <c r="H43" s="96"/>
      <c r="I43" s="96">
        <v>0</v>
      </c>
      <c r="J43" s="96"/>
      <c r="K43" s="96">
        <f t="shared" si="0"/>
        <v>151773289.61538464</v>
      </c>
      <c r="L43" s="96"/>
      <c r="M43" s="372">
        <v>188408219.71153846</v>
      </c>
      <c r="N43" s="96"/>
      <c r="O43" s="96">
        <v>0</v>
      </c>
      <c r="P43" s="96"/>
      <c r="Q43" s="96">
        <f t="shared" si="1"/>
        <v>188408219.71153846</v>
      </c>
      <c r="S43" s="208"/>
      <c r="T43" s="373"/>
      <c r="U43" s="190"/>
      <c r="V43" s="372"/>
      <c r="W43" s="171"/>
      <c r="X43" s="171"/>
      <c r="Y43" s="144"/>
      <c r="Z43" s="372"/>
    </row>
    <row r="44" spans="1:26" s="179" customFormat="1" ht="30.75" customHeight="1">
      <c r="A44" s="176" t="s">
        <v>171</v>
      </c>
      <c r="B44" s="375"/>
      <c r="C44" s="374" t="s">
        <v>91</v>
      </c>
      <c r="E44" s="148">
        <v>0.22500000000000001</v>
      </c>
      <c r="G44" s="96">
        <v>0</v>
      </c>
      <c r="H44" s="96"/>
      <c r="I44" s="96">
        <v>0</v>
      </c>
      <c r="J44" s="96"/>
      <c r="K44" s="96">
        <f t="shared" si="0"/>
        <v>0</v>
      </c>
      <c r="L44" s="96"/>
      <c r="M44" s="372">
        <v>2879866768.8461537</v>
      </c>
      <c r="N44" s="96"/>
      <c r="O44" s="96">
        <v>0</v>
      </c>
      <c r="P44" s="96"/>
      <c r="Q44" s="96">
        <f t="shared" si="1"/>
        <v>2879866768.8461537</v>
      </c>
      <c r="S44" s="208"/>
      <c r="T44" s="373"/>
      <c r="U44" s="190"/>
      <c r="V44" s="372"/>
      <c r="W44" s="171"/>
      <c r="X44" s="171"/>
      <c r="Y44" s="144"/>
      <c r="Z44" s="372"/>
    </row>
    <row r="45" spans="1:26" s="179" customFormat="1" ht="30.75" customHeight="1">
      <c r="A45" s="176" t="s">
        <v>206</v>
      </c>
      <c r="B45" s="375"/>
      <c r="C45" s="374" t="s">
        <v>91</v>
      </c>
      <c r="E45" s="148">
        <v>0.22500000000000001</v>
      </c>
      <c r="G45" s="96">
        <v>948895889.71153855</v>
      </c>
      <c r="H45" s="96"/>
      <c r="I45" s="96">
        <v>0</v>
      </c>
      <c r="J45" s="96"/>
      <c r="K45" s="96">
        <f t="shared" si="0"/>
        <v>948895889.71153855</v>
      </c>
      <c r="L45" s="96"/>
      <c r="M45" s="372">
        <v>1668747945.2884617</v>
      </c>
      <c r="N45" s="96"/>
      <c r="O45" s="96">
        <v>0</v>
      </c>
      <c r="P45" s="96"/>
      <c r="Q45" s="96">
        <f t="shared" si="1"/>
        <v>1668747945.2884617</v>
      </c>
      <c r="S45" s="208"/>
      <c r="T45" s="373"/>
      <c r="U45" s="190"/>
      <c r="V45" s="372"/>
      <c r="W45" s="171"/>
      <c r="X45" s="171"/>
      <c r="Y45" s="144"/>
      <c r="Z45" s="372"/>
    </row>
    <row r="46" spans="1:26" s="179" customFormat="1" ht="30.75" customHeight="1">
      <c r="A46" s="176" t="s">
        <v>272</v>
      </c>
      <c r="B46" s="375"/>
      <c r="C46" s="374" t="s">
        <v>91</v>
      </c>
      <c r="E46" s="148">
        <v>0.22500000000000001</v>
      </c>
      <c r="G46" s="96">
        <v>3141478531.7307692</v>
      </c>
      <c r="H46" s="96"/>
      <c r="I46" s="96">
        <v>-7889587</v>
      </c>
      <c r="J46" s="96"/>
      <c r="K46" s="96">
        <f t="shared" si="0"/>
        <v>3133588944.7307692</v>
      </c>
      <c r="L46" s="96"/>
      <c r="M46" s="372">
        <v>3141478531.7307692</v>
      </c>
      <c r="N46" s="96"/>
      <c r="O46" s="96">
        <v>-7889587</v>
      </c>
      <c r="P46" s="96"/>
      <c r="Q46" s="96">
        <f t="shared" si="1"/>
        <v>3133588944.7307692</v>
      </c>
      <c r="S46" s="208"/>
      <c r="T46" s="373"/>
      <c r="U46" s="190"/>
      <c r="V46" s="372"/>
      <c r="W46" s="171"/>
      <c r="X46" s="171"/>
      <c r="Y46" s="144"/>
      <c r="Z46" s="372"/>
    </row>
    <row r="47" spans="1:26" s="179" customFormat="1" ht="30.75" customHeight="1">
      <c r="A47" s="176" t="s">
        <v>271</v>
      </c>
      <c r="B47" s="375"/>
      <c r="C47" s="374" t="s">
        <v>91</v>
      </c>
      <c r="E47" s="148">
        <v>0.22500000000000001</v>
      </c>
      <c r="G47" s="96">
        <v>617260119.23076916</v>
      </c>
      <c r="H47" s="96"/>
      <c r="I47" s="96">
        <v>-5141269</v>
      </c>
      <c r="J47" s="96"/>
      <c r="K47" s="96">
        <f t="shared" si="0"/>
        <v>612118850.23076916</v>
      </c>
      <c r="L47" s="96">
        <f t="shared" ref="L47" si="2">H47+J47</f>
        <v>0</v>
      </c>
      <c r="M47" s="372">
        <v>617260119.23076916</v>
      </c>
      <c r="N47" s="96"/>
      <c r="O47" s="96">
        <v>-5141269</v>
      </c>
      <c r="P47" s="96"/>
      <c r="Q47" s="96">
        <f t="shared" si="1"/>
        <v>612118850.23076916</v>
      </c>
      <c r="S47" s="208"/>
      <c r="T47" s="373"/>
      <c r="U47" s="190"/>
      <c r="V47" s="372"/>
      <c r="W47" s="171"/>
      <c r="X47" s="171"/>
      <c r="Y47" s="144"/>
      <c r="Z47" s="372"/>
    </row>
    <row r="48" spans="1:26" s="179" customFormat="1" ht="30.75" customHeight="1">
      <c r="A48" s="176" t="s">
        <v>172</v>
      </c>
      <c r="B48" s="375"/>
      <c r="C48" s="374" t="s">
        <v>91</v>
      </c>
      <c r="E48" s="148">
        <v>0.22500000000000001</v>
      </c>
      <c r="G48" s="96">
        <v>0</v>
      </c>
      <c r="H48" s="96"/>
      <c r="I48" s="96">
        <v>0</v>
      </c>
      <c r="J48" s="96"/>
      <c r="K48" s="96">
        <f t="shared" si="0"/>
        <v>0</v>
      </c>
      <c r="L48" s="96"/>
      <c r="M48" s="372">
        <v>1237505882.0192306</v>
      </c>
      <c r="N48" s="96"/>
      <c r="O48" s="96">
        <v>0</v>
      </c>
      <c r="P48" s="96"/>
      <c r="Q48" s="96">
        <f t="shared" si="1"/>
        <v>1237505882.0192306</v>
      </c>
      <c r="S48" s="208"/>
      <c r="T48" s="373"/>
      <c r="U48" s="190"/>
      <c r="V48" s="372"/>
      <c r="W48" s="171"/>
      <c r="X48" s="171"/>
      <c r="Y48" s="144"/>
      <c r="Z48" s="372"/>
    </row>
    <row r="49" spans="1:26" s="179" customFormat="1" ht="30.75" customHeight="1">
      <c r="A49" s="176" t="s">
        <v>173</v>
      </c>
      <c r="B49" s="375"/>
      <c r="C49" s="374" t="s">
        <v>91</v>
      </c>
      <c r="E49" s="148">
        <v>0.22500000000000001</v>
      </c>
      <c r="G49" s="96">
        <v>0</v>
      </c>
      <c r="H49" s="96"/>
      <c r="I49" s="96">
        <v>0</v>
      </c>
      <c r="J49" s="96"/>
      <c r="K49" s="96">
        <f t="shared" si="0"/>
        <v>0</v>
      </c>
      <c r="L49" s="96"/>
      <c r="M49" s="372">
        <v>516671506.80000001</v>
      </c>
      <c r="N49" s="96"/>
      <c r="O49" s="96">
        <v>0</v>
      </c>
      <c r="P49" s="96"/>
      <c r="Q49" s="96">
        <f t="shared" si="1"/>
        <v>516671506.80000001</v>
      </c>
      <c r="S49" s="208"/>
      <c r="T49" s="373"/>
      <c r="U49" s="190"/>
      <c r="V49" s="372"/>
      <c r="W49" s="171"/>
      <c r="X49" s="171"/>
      <c r="Y49" s="144"/>
      <c r="Z49" s="372"/>
    </row>
    <row r="50" spans="1:26" s="179" customFormat="1" ht="30.75" customHeight="1">
      <c r="A50" s="176" t="s">
        <v>177</v>
      </c>
      <c r="B50" s="375"/>
      <c r="C50" s="374" t="s">
        <v>91</v>
      </c>
      <c r="E50" s="148">
        <v>0.22500000000000001</v>
      </c>
      <c r="G50" s="96">
        <v>1942215584.7115386</v>
      </c>
      <c r="H50" s="96"/>
      <c r="I50" s="96">
        <v>0</v>
      </c>
      <c r="J50" s="96"/>
      <c r="K50" s="96">
        <f t="shared" si="0"/>
        <v>1942215584.7115386</v>
      </c>
      <c r="L50" s="96"/>
      <c r="M50" s="372">
        <v>9455536699.6153851</v>
      </c>
      <c r="N50" s="96"/>
      <c r="O50" s="96">
        <v>-6808465</v>
      </c>
      <c r="P50" s="96"/>
      <c r="Q50" s="96">
        <f t="shared" si="1"/>
        <v>9448728234.6153851</v>
      </c>
      <c r="S50" s="208"/>
      <c r="T50" s="373"/>
      <c r="U50" s="190"/>
      <c r="V50" s="372"/>
      <c r="W50" s="171"/>
      <c r="X50" s="171"/>
      <c r="Y50" s="144"/>
      <c r="Z50" s="372"/>
    </row>
    <row r="51" spans="1:26" s="179" customFormat="1" ht="30.75" customHeight="1">
      <c r="A51" s="176" t="s">
        <v>187</v>
      </c>
      <c r="B51" s="375"/>
      <c r="C51" s="374" t="s">
        <v>91</v>
      </c>
      <c r="E51" s="148">
        <v>0.22500000000000001</v>
      </c>
      <c r="G51" s="96">
        <v>1825353090</v>
      </c>
      <c r="H51" s="96"/>
      <c r="I51" s="96">
        <v>0</v>
      </c>
      <c r="J51" s="96"/>
      <c r="K51" s="96">
        <f t="shared" si="0"/>
        <v>1825353090</v>
      </c>
      <c r="L51" s="96"/>
      <c r="M51" s="372">
        <v>6948118221.9230766</v>
      </c>
      <c r="N51" s="96"/>
      <c r="O51" s="96">
        <v>-7377896</v>
      </c>
      <c r="P51" s="96"/>
      <c r="Q51" s="96">
        <f t="shared" si="1"/>
        <v>6940740325.9230766</v>
      </c>
      <c r="S51" s="208"/>
      <c r="T51" s="373"/>
      <c r="U51" s="190"/>
      <c r="V51" s="372"/>
      <c r="W51" s="171"/>
      <c r="X51" s="171"/>
      <c r="Y51" s="144"/>
      <c r="Z51" s="372"/>
    </row>
    <row r="52" spans="1:26" s="179" customFormat="1" ht="30.75" customHeight="1">
      <c r="A52" s="176" t="s">
        <v>188</v>
      </c>
      <c r="B52" s="375"/>
      <c r="C52" s="374" t="s">
        <v>91</v>
      </c>
      <c r="E52" s="148">
        <v>0.22500000000000001</v>
      </c>
      <c r="G52" s="96">
        <v>486927027.69230771</v>
      </c>
      <c r="H52" s="96"/>
      <c r="I52" s="96">
        <v>0</v>
      </c>
      <c r="J52" s="96"/>
      <c r="K52" s="96">
        <f t="shared" si="0"/>
        <v>486927027.69230771</v>
      </c>
      <c r="L52" s="96"/>
      <c r="M52" s="372">
        <v>1806342201.346154</v>
      </c>
      <c r="N52" s="96"/>
      <c r="O52" s="96">
        <v>-2592285</v>
      </c>
      <c r="P52" s="96"/>
      <c r="Q52" s="96">
        <f t="shared" si="1"/>
        <v>1803749916.346154</v>
      </c>
      <c r="S52" s="208"/>
      <c r="T52" s="373"/>
      <c r="U52" s="190"/>
      <c r="V52" s="372"/>
      <c r="W52" s="171"/>
      <c r="X52" s="171"/>
      <c r="Y52" s="144"/>
      <c r="Z52" s="372"/>
    </row>
    <row r="53" spans="1:26" s="179" customFormat="1" ht="30.75" customHeight="1">
      <c r="A53" s="176" t="s">
        <v>192</v>
      </c>
      <c r="B53" s="375"/>
      <c r="C53" s="374" t="s">
        <v>91</v>
      </c>
      <c r="E53" s="148">
        <v>0.22500000000000001</v>
      </c>
      <c r="G53" s="96">
        <v>0</v>
      </c>
      <c r="H53" s="96"/>
      <c r="I53" s="96">
        <v>0</v>
      </c>
      <c r="J53" s="96"/>
      <c r="K53" s="96">
        <f t="shared" si="0"/>
        <v>0</v>
      </c>
      <c r="L53" s="96"/>
      <c r="M53" s="372">
        <v>463895754.30000001</v>
      </c>
      <c r="N53" s="96"/>
      <c r="O53" s="96">
        <v>0</v>
      </c>
      <c r="P53" s="96"/>
      <c r="Q53" s="96">
        <f t="shared" si="1"/>
        <v>463895754.30000001</v>
      </c>
      <c r="S53" s="208"/>
      <c r="T53" s="373"/>
      <c r="U53" s="190"/>
      <c r="V53" s="372"/>
      <c r="W53" s="171"/>
      <c r="X53" s="171"/>
      <c r="Y53" s="144"/>
      <c r="Z53" s="372"/>
    </row>
    <row r="54" spans="1:26" s="179" customFormat="1" ht="30.75" customHeight="1">
      <c r="A54" s="176" t="s">
        <v>193</v>
      </c>
      <c r="B54" s="375"/>
      <c r="C54" s="374" t="s">
        <v>91</v>
      </c>
      <c r="E54" s="148">
        <v>0.22500000000000001</v>
      </c>
      <c r="G54" s="96">
        <v>0</v>
      </c>
      <c r="H54" s="96"/>
      <c r="I54" s="96">
        <v>0</v>
      </c>
      <c r="J54" s="96"/>
      <c r="K54" s="96">
        <f t="shared" si="0"/>
        <v>0</v>
      </c>
      <c r="L54" s="96"/>
      <c r="M54" s="96">
        <v>399452054.40000004</v>
      </c>
      <c r="N54" s="96"/>
      <c r="O54" s="96">
        <v>0</v>
      </c>
      <c r="P54" s="96"/>
      <c r="Q54" s="96">
        <f t="shared" si="1"/>
        <v>399452054.40000004</v>
      </c>
      <c r="S54" s="208"/>
      <c r="T54" s="373"/>
      <c r="U54" s="190"/>
      <c r="V54" s="372"/>
      <c r="W54" s="171"/>
      <c r="X54" s="171"/>
    </row>
    <row r="55" spans="1:26" s="179" customFormat="1" ht="30.75" customHeight="1">
      <c r="A55" s="176" t="s">
        <v>155</v>
      </c>
      <c r="B55" s="375"/>
      <c r="C55" s="374" t="s">
        <v>91</v>
      </c>
      <c r="E55" s="148">
        <v>0.22500000000000001</v>
      </c>
      <c r="G55" s="96">
        <v>0</v>
      </c>
      <c r="H55" s="96"/>
      <c r="I55" s="96">
        <v>0</v>
      </c>
      <c r="J55" s="96"/>
      <c r="K55" s="96">
        <f t="shared" si="0"/>
        <v>0</v>
      </c>
      <c r="L55" s="96"/>
      <c r="M55" s="96">
        <v>2147054794.2</v>
      </c>
      <c r="N55" s="96"/>
      <c r="O55" s="96">
        <v>0</v>
      </c>
      <c r="P55" s="96"/>
      <c r="Q55" s="96">
        <f t="shared" si="1"/>
        <v>2147054794.2</v>
      </c>
      <c r="S55" s="208"/>
      <c r="T55" s="373"/>
      <c r="U55" s="190"/>
      <c r="V55" s="372"/>
      <c r="W55" s="171"/>
      <c r="X55" s="171"/>
    </row>
    <row r="56" spans="1:26" s="179" customFormat="1" ht="30.75" customHeight="1">
      <c r="A56" s="176" t="s">
        <v>156</v>
      </c>
      <c r="B56" s="375"/>
      <c r="C56" s="374" t="s">
        <v>91</v>
      </c>
      <c r="E56" s="148">
        <v>0.22500000000000001</v>
      </c>
      <c r="G56" s="96">
        <v>0</v>
      </c>
      <c r="H56" s="96"/>
      <c r="I56" s="96">
        <v>0</v>
      </c>
      <c r="J56" s="96"/>
      <c r="K56" s="96">
        <f t="shared" si="0"/>
        <v>0</v>
      </c>
      <c r="L56" s="96"/>
      <c r="M56" s="96">
        <v>343403012.69999999</v>
      </c>
      <c r="N56" s="96"/>
      <c r="O56" s="96">
        <v>0</v>
      </c>
      <c r="P56" s="96"/>
      <c r="Q56" s="96">
        <f t="shared" si="1"/>
        <v>343403012.69999999</v>
      </c>
      <c r="S56" s="208"/>
      <c r="T56" s="373"/>
      <c r="U56" s="190"/>
      <c r="V56" s="372"/>
      <c r="W56" s="171"/>
      <c r="X56" s="171"/>
    </row>
    <row r="57" spans="1:26" s="179" customFormat="1" ht="30.75" customHeight="1">
      <c r="A57" s="176" t="s">
        <v>159</v>
      </c>
      <c r="B57" s="375"/>
      <c r="C57" s="374" t="s">
        <v>91</v>
      </c>
      <c r="E57" s="148">
        <v>0.22500000000000001</v>
      </c>
      <c r="G57" s="96">
        <v>0</v>
      </c>
      <c r="H57" s="96"/>
      <c r="I57" s="96">
        <v>0</v>
      </c>
      <c r="J57" s="96"/>
      <c r="K57" s="96">
        <f t="shared" si="0"/>
        <v>0</v>
      </c>
      <c r="L57" s="96"/>
      <c r="M57" s="96">
        <v>47455446393.17308</v>
      </c>
      <c r="N57" s="96"/>
      <c r="O57" s="96">
        <v>0</v>
      </c>
      <c r="P57" s="96"/>
      <c r="Q57" s="96">
        <f t="shared" si="1"/>
        <v>47455446393.17308</v>
      </c>
      <c r="S57" s="208"/>
      <c r="T57" s="373"/>
      <c r="U57" s="190"/>
      <c r="V57" s="372"/>
      <c r="W57" s="171"/>
      <c r="X57" s="171"/>
    </row>
    <row r="58" spans="1:26" s="179" customFormat="1" ht="30.75" customHeight="1">
      <c r="A58" s="176" t="s">
        <v>261</v>
      </c>
      <c r="B58" s="375"/>
      <c r="C58" s="374" t="s">
        <v>91</v>
      </c>
      <c r="E58" s="148">
        <v>0.22500000000000001</v>
      </c>
      <c r="G58" s="96">
        <v>0</v>
      </c>
      <c r="H58" s="96"/>
      <c r="I58" s="96">
        <v>0</v>
      </c>
      <c r="J58" s="96"/>
      <c r="K58" s="96">
        <f t="shared" si="0"/>
        <v>0</v>
      </c>
      <c r="L58" s="96"/>
      <c r="M58" s="96">
        <v>4983904108.8000002</v>
      </c>
      <c r="N58" s="96"/>
      <c r="O58" s="96">
        <v>0</v>
      </c>
      <c r="P58" s="96"/>
      <c r="Q58" s="96">
        <f t="shared" si="1"/>
        <v>4983904108.8000002</v>
      </c>
      <c r="S58" s="208"/>
      <c r="T58" s="373"/>
      <c r="U58" s="190"/>
      <c r="V58" s="372"/>
      <c r="W58" s="171"/>
      <c r="X58" s="171"/>
    </row>
    <row r="59" spans="1:26" s="179" customFormat="1" ht="30.75" customHeight="1">
      <c r="A59" s="176" t="s">
        <v>214</v>
      </c>
      <c r="B59" s="375"/>
      <c r="C59" s="374" t="s">
        <v>91</v>
      </c>
      <c r="E59" s="148" t="s">
        <v>91</v>
      </c>
      <c r="G59" s="96">
        <v>1417718327</v>
      </c>
      <c r="H59" s="96"/>
      <c r="I59" s="96">
        <v>0</v>
      </c>
      <c r="J59" s="96"/>
      <c r="K59" s="96">
        <f t="shared" si="0"/>
        <v>1417718327</v>
      </c>
      <c r="L59" s="96"/>
      <c r="M59" s="96">
        <f>21850+16401553363</f>
        <v>16401575213</v>
      </c>
      <c r="N59" s="96"/>
      <c r="O59" s="96">
        <v>0</v>
      </c>
      <c r="P59" s="96"/>
      <c r="Q59" s="96">
        <f t="shared" si="1"/>
        <v>16401575213</v>
      </c>
      <c r="S59" s="208"/>
      <c r="T59" s="373"/>
      <c r="U59" s="190"/>
      <c r="V59" s="372"/>
      <c r="W59" s="171"/>
      <c r="X59" s="171"/>
    </row>
    <row r="60" spans="1:26" s="179" customFormat="1" ht="30.75" customHeight="1">
      <c r="A60" s="176" t="s">
        <v>153</v>
      </c>
      <c r="B60" s="375"/>
      <c r="C60" s="374" t="s">
        <v>91</v>
      </c>
      <c r="E60" s="148">
        <v>0.22500000000000001</v>
      </c>
      <c r="G60" s="96">
        <v>0</v>
      </c>
      <c r="H60" s="96"/>
      <c r="I60" s="96">
        <v>0</v>
      </c>
      <c r="J60" s="96"/>
      <c r="K60" s="96">
        <f t="shared" si="0"/>
        <v>0</v>
      </c>
      <c r="L60" s="96"/>
      <c r="M60" s="96">
        <v>589338777.98076928</v>
      </c>
      <c r="N60" s="96"/>
      <c r="O60" s="96">
        <v>0</v>
      </c>
      <c r="P60" s="96"/>
      <c r="Q60" s="96">
        <f t="shared" si="1"/>
        <v>589338777.98076928</v>
      </c>
      <c r="S60" s="208"/>
      <c r="T60" s="373"/>
      <c r="U60" s="190"/>
      <c r="V60" s="372"/>
      <c r="W60" s="171"/>
      <c r="X60" s="171"/>
    </row>
    <row r="61" spans="1:26" s="179" customFormat="1" ht="30.75" customHeight="1">
      <c r="A61" s="176" t="s">
        <v>157</v>
      </c>
      <c r="B61" s="375"/>
      <c r="C61" s="374" t="s">
        <v>91</v>
      </c>
      <c r="E61" s="148">
        <v>0.22500000000000001</v>
      </c>
      <c r="G61" s="96">
        <v>0</v>
      </c>
      <c r="H61" s="96"/>
      <c r="I61" s="96">
        <v>0</v>
      </c>
      <c r="J61" s="96"/>
      <c r="K61" s="96">
        <f t="shared" si="0"/>
        <v>0</v>
      </c>
      <c r="L61" s="96"/>
      <c r="M61" s="96">
        <v>501780820.67307693</v>
      </c>
      <c r="N61" s="96"/>
      <c r="O61" s="96">
        <v>0</v>
      </c>
      <c r="P61" s="96"/>
      <c r="Q61" s="96">
        <f t="shared" si="1"/>
        <v>501780820.67307693</v>
      </c>
      <c r="S61" s="208"/>
      <c r="T61" s="373"/>
      <c r="U61" s="190"/>
      <c r="V61" s="372"/>
      <c r="W61" s="171"/>
      <c r="X61" s="171"/>
    </row>
    <row r="62" spans="1:26" s="179" customFormat="1" ht="30.75" customHeight="1">
      <c r="A62" s="176" t="s">
        <v>158</v>
      </c>
      <c r="B62" s="375"/>
      <c r="C62" s="374" t="s">
        <v>91</v>
      </c>
      <c r="E62" s="148">
        <v>0.22500000000000001</v>
      </c>
      <c r="G62" s="96">
        <v>0</v>
      </c>
      <c r="H62" s="96"/>
      <c r="I62" s="96">
        <v>0</v>
      </c>
      <c r="J62" s="96"/>
      <c r="K62" s="96">
        <f t="shared" si="0"/>
        <v>0</v>
      </c>
      <c r="L62" s="96"/>
      <c r="M62" s="96">
        <v>288095546.25</v>
      </c>
      <c r="N62" s="96"/>
      <c r="O62" s="96">
        <v>0</v>
      </c>
      <c r="P62" s="96"/>
      <c r="Q62" s="96">
        <f t="shared" si="1"/>
        <v>288095546.25</v>
      </c>
      <c r="S62" s="208"/>
      <c r="T62" s="373"/>
      <c r="U62" s="190"/>
      <c r="V62" s="372"/>
      <c r="W62" s="171"/>
      <c r="X62" s="171"/>
    </row>
    <row r="63" spans="1:26" s="179" customFormat="1" ht="30.75" customHeight="1">
      <c r="A63" s="176" t="s">
        <v>124</v>
      </c>
      <c r="B63" s="375"/>
      <c r="C63" s="374" t="s">
        <v>91</v>
      </c>
      <c r="E63" s="148">
        <v>0.22500000000000001</v>
      </c>
      <c r="G63" s="96">
        <v>0</v>
      </c>
      <c r="H63" s="96"/>
      <c r="I63" s="96">
        <v>0</v>
      </c>
      <c r="J63" s="96"/>
      <c r="K63" s="96">
        <f t="shared" si="0"/>
        <v>0</v>
      </c>
      <c r="L63" s="96"/>
      <c r="M63" s="372">
        <v>370738455.65217388</v>
      </c>
      <c r="N63" s="96"/>
      <c r="O63" s="96">
        <v>0</v>
      </c>
      <c r="P63" s="96"/>
      <c r="Q63" s="96">
        <f t="shared" si="1"/>
        <v>370738455.65217388</v>
      </c>
      <c r="S63" s="208"/>
      <c r="T63" s="373"/>
      <c r="U63" s="190"/>
      <c r="V63" s="373"/>
      <c r="W63" s="171"/>
      <c r="X63" s="171"/>
      <c r="Y63" s="144"/>
      <c r="Z63" s="372"/>
    </row>
    <row r="64" spans="1:26" s="179" customFormat="1" ht="30.75" customHeight="1">
      <c r="A64" s="176" t="s">
        <v>125</v>
      </c>
      <c r="B64" s="375"/>
      <c r="C64" s="374" t="s">
        <v>91</v>
      </c>
      <c r="E64" s="148">
        <v>0.22500000000000001</v>
      </c>
      <c r="G64" s="96">
        <v>0</v>
      </c>
      <c r="H64" s="96"/>
      <c r="I64" s="96">
        <v>0</v>
      </c>
      <c r="J64" s="96"/>
      <c r="K64" s="96">
        <f t="shared" si="0"/>
        <v>0</v>
      </c>
      <c r="L64" s="96"/>
      <c r="M64" s="96">
        <v>22522124865.9375</v>
      </c>
      <c r="N64" s="96"/>
      <c r="O64" s="96">
        <v>0</v>
      </c>
      <c r="P64" s="96"/>
      <c r="Q64" s="96">
        <f t="shared" si="1"/>
        <v>22522124865.9375</v>
      </c>
      <c r="S64" s="208"/>
      <c r="T64" s="373"/>
      <c r="U64" s="190"/>
      <c r="V64" s="372"/>
      <c r="W64" s="171"/>
      <c r="X64" s="171"/>
    </row>
    <row r="65" spans="1:24" s="179" customFormat="1" ht="30.75" customHeight="1">
      <c r="A65" s="176" t="s">
        <v>126</v>
      </c>
      <c r="B65" s="375"/>
      <c r="C65" s="374" t="s">
        <v>91</v>
      </c>
      <c r="E65" s="148">
        <v>0.22500000000000001</v>
      </c>
      <c r="G65" s="96">
        <v>0</v>
      </c>
      <c r="H65" s="96"/>
      <c r="I65" s="96">
        <v>0</v>
      </c>
      <c r="J65" s="96"/>
      <c r="K65" s="96">
        <f t="shared" si="0"/>
        <v>0</v>
      </c>
      <c r="L65" s="96"/>
      <c r="M65" s="96">
        <v>14825856164.0625</v>
      </c>
      <c r="N65" s="96"/>
      <c r="O65" s="96">
        <v>0</v>
      </c>
      <c r="P65" s="96"/>
      <c r="Q65" s="96">
        <f t="shared" si="1"/>
        <v>14825856164.0625</v>
      </c>
      <c r="R65" s="96"/>
      <c r="S65" s="208"/>
      <c r="T65" s="373"/>
      <c r="U65" s="190"/>
      <c r="V65" s="373"/>
      <c r="W65" s="171"/>
      <c r="X65" s="171"/>
    </row>
    <row r="66" spans="1:24" s="179" customFormat="1" ht="30.75" customHeight="1">
      <c r="A66" s="176" t="s">
        <v>160</v>
      </c>
      <c r="B66" s="375"/>
      <c r="C66" s="374" t="s">
        <v>91</v>
      </c>
      <c r="E66" s="148">
        <v>0.22500000000000001</v>
      </c>
      <c r="G66" s="96">
        <v>0</v>
      </c>
      <c r="H66" s="96"/>
      <c r="I66" s="96">
        <v>0</v>
      </c>
      <c r="J66" s="96"/>
      <c r="K66" s="96">
        <f t="shared" si="0"/>
        <v>0</v>
      </c>
      <c r="L66" s="96"/>
      <c r="M66" s="96">
        <v>2270130563.4375</v>
      </c>
      <c r="N66" s="96"/>
      <c r="O66" s="96">
        <v>0</v>
      </c>
      <c r="P66" s="96"/>
      <c r="Q66" s="96">
        <f t="shared" si="1"/>
        <v>2270130563.4375</v>
      </c>
      <c r="R66" s="96"/>
      <c r="S66" s="208"/>
      <c r="T66" s="373"/>
      <c r="U66" s="190"/>
      <c r="V66" s="373"/>
      <c r="W66" s="171"/>
      <c r="X66" s="171"/>
    </row>
    <row r="67" spans="1:24" s="179" customFormat="1" ht="30.75" customHeight="1">
      <c r="A67" s="176" t="s">
        <v>161</v>
      </c>
      <c r="B67" s="375"/>
      <c r="C67" s="374" t="s">
        <v>91</v>
      </c>
      <c r="E67" s="148">
        <v>0.22500000000000001</v>
      </c>
      <c r="G67" s="96">
        <v>0</v>
      </c>
      <c r="H67" s="96"/>
      <c r="I67" s="96">
        <v>0</v>
      </c>
      <c r="J67" s="96"/>
      <c r="K67" s="96">
        <f t="shared" si="0"/>
        <v>0</v>
      </c>
      <c r="L67" s="96"/>
      <c r="M67" s="96">
        <v>6453823560.9375</v>
      </c>
      <c r="N67" s="96"/>
      <c r="O67" s="96">
        <v>0</v>
      </c>
      <c r="P67" s="96"/>
      <c r="Q67" s="96">
        <f t="shared" si="1"/>
        <v>6453823560.9375</v>
      </c>
      <c r="R67" s="96"/>
      <c r="S67" s="208"/>
      <c r="T67" s="373"/>
      <c r="U67" s="190"/>
      <c r="V67" s="190"/>
      <c r="W67" s="171"/>
      <c r="X67" s="171"/>
    </row>
    <row r="68" spans="1:24" s="179" customFormat="1" ht="30.75" customHeight="1">
      <c r="A68" s="176" t="s">
        <v>162</v>
      </c>
      <c r="B68" s="375"/>
      <c r="C68" s="374" t="s">
        <v>91</v>
      </c>
      <c r="E68" s="148">
        <v>0.22500000000000001</v>
      </c>
      <c r="G68" s="96">
        <v>0</v>
      </c>
      <c r="H68" s="96"/>
      <c r="I68" s="96">
        <v>0</v>
      </c>
      <c r="J68" s="96"/>
      <c r="K68" s="96">
        <f t="shared" si="0"/>
        <v>0</v>
      </c>
      <c r="L68" s="96"/>
      <c r="M68" s="96">
        <v>246193534.68750003</v>
      </c>
      <c r="N68" s="96"/>
      <c r="O68" s="96">
        <v>0</v>
      </c>
      <c r="P68" s="96"/>
      <c r="Q68" s="96">
        <f t="shared" si="1"/>
        <v>246193534.68750003</v>
      </c>
      <c r="R68" s="96"/>
      <c r="S68" s="208"/>
      <c r="T68" s="373"/>
      <c r="U68" s="190"/>
      <c r="V68" s="190"/>
      <c r="W68" s="171"/>
      <c r="X68" s="171"/>
    </row>
    <row r="69" spans="1:24" s="179" customFormat="1" ht="30.75" customHeight="1">
      <c r="A69" s="176" t="s">
        <v>163</v>
      </c>
      <c r="B69" s="375"/>
      <c r="C69" s="374" t="s">
        <v>91</v>
      </c>
      <c r="E69" s="148">
        <v>0.22500000000000001</v>
      </c>
      <c r="G69" s="96">
        <v>0</v>
      </c>
      <c r="H69" s="96"/>
      <c r="I69" s="96">
        <v>0</v>
      </c>
      <c r="J69" s="96"/>
      <c r="K69" s="96">
        <f t="shared" si="0"/>
        <v>0</v>
      </c>
      <c r="L69" s="96"/>
      <c r="M69" s="96">
        <v>1712689520.4000001</v>
      </c>
      <c r="N69" s="96"/>
      <c r="O69" s="96">
        <v>0</v>
      </c>
      <c r="P69" s="96"/>
      <c r="Q69" s="96">
        <f t="shared" si="1"/>
        <v>1712689520.4000001</v>
      </c>
      <c r="R69" s="96"/>
      <c r="S69" s="208"/>
      <c r="T69" s="373"/>
      <c r="U69" s="190"/>
      <c r="V69" s="190"/>
      <c r="W69" s="171"/>
      <c r="X69" s="171"/>
    </row>
    <row r="70" spans="1:24" s="179" customFormat="1" ht="30.75" customHeight="1">
      <c r="A70" s="176" t="s">
        <v>114</v>
      </c>
      <c r="B70" s="375"/>
      <c r="C70" s="374" t="s">
        <v>91</v>
      </c>
      <c r="E70" s="148">
        <v>0.22500000000000001</v>
      </c>
      <c r="G70" s="96">
        <v>0</v>
      </c>
      <c r="H70" s="96"/>
      <c r="I70" s="96">
        <v>0</v>
      </c>
      <c r="J70" s="96"/>
      <c r="K70" s="96">
        <f t="shared" si="0"/>
        <v>0</v>
      </c>
      <c r="L70" s="96"/>
      <c r="M70" s="96">
        <v>1023634809.7826086</v>
      </c>
      <c r="N70" s="96"/>
      <c r="O70" s="96">
        <v>0</v>
      </c>
      <c r="P70" s="96"/>
      <c r="Q70" s="96">
        <f t="shared" si="1"/>
        <v>1023634809.7826086</v>
      </c>
      <c r="R70" s="96"/>
      <c r="S70" s="208"/>
      <c r="T70" s="373"/>
      <c r="U70" s="190"/>
      <c r="V70" s="190"/>
      <c r="W70" s="171"/>
      <c r="X70" s="171"/>
    </row>
    <row r="71" spans="1:24" s="179" customFormat="1" ht="30.75" customHeight="1">
      <c r="A71" s="176" t="s">
        <v>267</v>
      </c>
      <c r="B71" s="375"/>
      <c r="C71" s="374" t="s">
        <v>91</v>
      </c>
      <c r="E71" s="148">
        <v>0.22500000000000001</v>
      </c>
      <c r="G71" s="96">
        <v>4660273969.6153851</v>
      </c>
      <c r="H71" s="96"/>
      <c r="I71" s="96">
        <v>-45642294</v>
      </c>
      <c r="J71" s="96"/>
      <c r="K71" s="96">
        <f t="shared" ref="K71:K90" si="3">G71+I71</f>
        <v>4614631675.6153851</v>
      </c>
      <c r="L71" s="96"/>
      <c r="M71" s="96">
        <v>4660273969.6153851</v>
      </c>
      <c r="N71" s="96"/>
      <c r="O71" s="96">
        <v>-45642294</v>
      </c>
      <c r="P71" s="96"/>
      <c r="Q71" s="96">
        <f t="shared" si="1"/>
        <v>4614631675.6153851</v>
      </c>
      <c r="R71" s="96"/>
      <c r="S71" s="208"/>
      <c r="T71" s="373"/>
      <c r="U71" s="190"/>
      <c r="V71" s="171"/>
      <c r="W71" s="171"/>
      <c r="X71" s="171"/>
    </row>
    <row r="72" spans="1:24" s="179" customFormat="1" ht="30.75" customHeight="1">
      <c r="A72" s="176" t="s">
        <v>225</v>
      </c>
      <c r="B72" s="375"/>
      <c r="C72" s="374" t="s">
        <v>91</v>
      </c>
      <c r="E72" s="148" t="s">
        <v>91</v>
      </c>
      <c r="G72" s="96">
        <v>9923</v>
      </c>
      <c r="H72" s="96"/>
      <c r="I72" s="96">
        <v>0</v>
      </c>
      <c r="J72" s="96"/>
      <c r="K72" s="96">
        <f t="shared" si="3"/>
        <v>9923</v>
      </c>
      <c r="L72" s="96"/>
      <c r="M72" s="96">
        <v>95844</v>
      </c>
      <c r="N72" s="96"/>
      <c r="O72" s="96">
        <v>0</v>
      </c>
      <c r="P72" s="96"/>
      <c r="Q72" s="96">
        <f t="shared" ref="Q72:Q91" si="4">M72+O72</f>
        <v>95844</v>
      </c>
      <c r="R72" s="96"/>
      <c r="S72" s="208"/>
      <c r="T72" s="373"/>
      <c r="U72" s="190"/>
      <c r="V72" s="171"/>
      <c r="W72" s="171"/>
      <c r="X72" s="171"/>
    </row>
    <row r="73" spans="1:24" s="179" customFormat="1" ht="30.75" customHeight="1">
      <c r="A73" s="176" t="s">
        <v>227</v>
      </c>
      <c r="B73" s="375"/>
      <c r="C73" s="374" t="s">
        <v>91</v>
      </c>
      <c r="E73" s="148" t="s">
        <v>91</v>
      </c>
      <c r="G73" s="96">
        <v>0</v>
      </c>
      <c r="H73" s="96"/>
      <c r="I73" s="96">
        <v>0</v>
      </c>
      <c r="J73" s="96"/>
      <c r="K73" s="96">
        <f t="shared" si="3"/>
        <v>0</v>
      </c>
      <c r="L73" s="96"/>
      <c r="M73" s="96">
        <v>29740</v>
      </c>
      <c r="N73" s="96"/>
      <c r="O73" s="96">
        <v>0</v>
      </c>
      <c r="P73" s="96"/>
      <c r="Q73" s="96">
        <f t="shared" si="4"/>
        <v>29740</v>
      </c>
      <c r="R73" s="96"/>
      <c r="S73" s="208"/>
      <c r="T73" s="373"/>
      <c r="U73" s="190"/>
      <c r="V73" s="171"/>
      <c r="W73" s="171"/>
      <c r="X73" s="171"/>
    </row>
    <row r="74" spans="1:24" s="179" customFormat="1" ht="30.75" customHeight="1">
      <c r="A74" s="176" t="s">
        <v>119</v>
      </c>
      <c r="B74" s="375"/>
      <c r="C74" s="374" t="s">
        <v>122</v>
      </c>
      <c r="E74" s="148"/>
      <c r="G74" s="96">
        <v>0</v>
      </c>
      <c r="H74" s="96"/>
      <c r="I74" s="96">
        <v>0</v>
      </c>
      <c r="J74" s="96"/>
      <c r="K74" s="96">
        <f t="shared" si="3"/>
        <v>0</v>
      </c>
      <c r="L74" s="96"/>
      <c r="M74" s="96">
        <v>18758010396</v>
      </c>
      <c r="N74" s="96"/>
      <c r="O74" s="96">
        <v>0</v>
      </c>
      <c r="P74" s="96"/>
      <c r="Q74" s="96">
        <f t="shared" si="4"/>
        <v>18758010396</v>
      </c>
      <c r="R74" s="96"/>
      <c r="S74" s="208"/>
      <c r="T74" s="373"/>
      <c r="U74" s="190"/>
      <c r="V74" s="171"/>
      <c r="W74" s="171"/>
      <c r="X74" s="171"/>
    </row>
    <row r="75" spans="1:24" s="179" customFormat="1" ht="30.75" customHeight="1">
      <c r="A75" s="176" t="s">
        <v>245</v>
      </c>
      <c r="B75" s="375"/>
      <c r="C75" s="374" t="s">
        <v>249</v>
      </c>
      <c r="E75" s="133"/>
      <c r="G75" s="96">
        <v>0</v>
      </c>
      <c r="H75" s="96"/>
      <c r="I75" s="96">
        <v>0</v>
      </c>
      <c r="J75" s="96"/>
      <c r="K75" s="96">
        <f t="shared" si="3"/>
        <v>0</v>
      </c>
      <c r="L75" s="96"/>
      <c r="M75" s="96">
        <v>1031226027</v>
      </c>
      <c r="N75" s="96"/>
      <c r="O75" s="96">
        <v>0</v>
      </c>
      <c r="P75" s="96"/>
      <c r="Q75" s="96">
        <f t="shared" si="4"/>
        <v>1031226027</v>
      </c>
      <c r="R75" s="96"/>
      <c r="S75" s="208"/>
      <c r="T75" s="373"/>
      <c r="U75" s="190"/>
      <c r="V75" s="171"/>
      <c r="W75" s="171"/>
      <c r="X75" s="171"/>
    </row>
    <row r="76" spans="1:24" s="179" customFormat="1" ht="30.75" customHeight="1">
      <c r="A76" s="176" t="s">
        <v>151</v>
      </c>
      <c r="B76" s="375"/>
      <c r="C76" s="374" t="s">
        <v>152</v>
      </c>
      <c r="E76" s="133"/>
      <c r="G76" s="96">
        <v>0</v>
      </c>
      <c r="H76" s="96"/>
      <c r="I76" s="96">
        <v>0</v>
      </c>
      <c r="J76" s="96"/>
      <c r="K76" s="96">
        <f t="shared" si="3"/>
        <v>0</v>
      </c>
      <c r="L76" s="96"/>
      <c r="M76" s="96">
        <v>404041938</v>
      </c>
      <c r="N76" s="96"/>
      <c r="O76" s="96">
        <v>0</v>
      </c>
      <c r="P76" s="96"/>
      <c r="Q76" s="96">
        <f t="shared" si="4"/>
        <v>404041938</v>
      </c>
      <c r="R76" s="96"/>
      <c r="S76" s="208"/>
      <c r="T76" s="373"/>
      <c r="U76" s="190"/>
      <c r="V76" s="171"/>
      <c r="W76" s="171"/>
      <c r="X76" s="171"/>
    </row>
    <row r="77" spans="1:24" s="179" customFormat="1" ht="30.75" customHeight="1">
      <c r="A77" s="176" t="s">
        <v>189</v>
      </c>
      <c r="B77" s="375"/>
      <c r="C77" s="374" t="s">
        <v>191</v>
      </c>
      <c r="E77" s="133"/>
      <c r="G77" s="96">
        <v>0</v>
      </c>
      <c r="H77" s="96"/>
      <c r="I77" s="96">
        <v>0</v>
      </c>
      <c r="J77" s="96"/>
      <c r="K77" s="96">
        <f t="shared" si="3"/>
        <v>0</v>
      </c>
      <c r="L77" s="96"/>
      <c r="M77" s="96">
        <v>26850405289</v>
      </c>
      <c r="N77" s="96"/>
      <c r="O77" s="96">
        <v>0</v>
      </c>
      <c r="P77" s="96"/>
      <c r="Q77" s="96">
        <f t="shared" si="4"/>
        <v>26850405289</v>
      </c>
      <c r="R77" s="96"/>
      <c r="S77" s="208"/>
      <c r="T77" s="373"/>
      <c r="U77" s="190"/>
      <c r="V77" s="171"/>
      <c r="W77" s="171"/>
      <c r="X77" s="171"/>
    </row>
    <row r="78" spans="1:24" s="179" customFormat="1" ht="30.75" customHeight="1">
      <c r="A78" s="176" t="s">
        <v>244</v>
      </c>
      <c r="B78" s="375"/>
      <c r="C78" s="374" t="s">
        <v>248</v>
      </c>
      <c r="E78" s="133"/>
      <c r="G78" s="96">
        <v>0</v>
      </c>
      <c r="H78" s="96"/>
      <c r="I78" s="96">
        <v>0</v>
      </c>
      <c r="J78" s="96"/>
      <c r="K78" s="96">
        <f t="shared" si="3"/>
        <v>0</v>
      </c>
      <c r="L78" s="96"/>
      <c r="M78" s="96">
        <v>5915729941</v>
      </c>
      <c r="N78" s="96"/>
      <c r="O78" s="96">
        <v>0</v>
      </c>
      <c r="P78" s="96"/>
      <c r="Q78" s="96">
        <f t="shared" si="4"/>
        <v>5915729941</v>
      </c>
      <c r="R78" s="96"/>
      <c r="S78" s="208"/>
      <c r="T78" s="373"/>
      <c r="U78" s="190"/>
      <c r="V78" s="171"/>
      <c r="W78" s="171"/>
      <c r="X78" s="171"/>
    </row>
    <row r="79" spans="1:24" s="179" customFormat="1" ht="30.75" customHeight="1">
      <c r="A79" s="176" t="s">
        <v>118</v>
      </c>
      <c r="B79" s="375"/>
      <c r="C79" s="374" t="s">
        <v>120</v>
      </c>
      <c r="E79" s="133"/>
      <c r="G79" s="96">
        <v>0</v>
      </c>
      <c r="H79" s="96"/>
      <c r="I79" s="96">
        <v>0</v>
      </c>
      <c r="J79" s="96"/>
      <c r="K79" s="96">
        <f t="shared" si="3"/>
        <v>0</v>
      </c>
      <c r="L79" s="96"/>
      <c r="M79" s="96">
        <v>32445693272</v>
      </c>
      <c r="N79" s="96"/>
      <c r="O79" s="96">
        <v>0</v>
      </c>
      <c r="P79" s="96"/>
      <c r="Q79" s="96">
        <f t="shared" si="4"/>
        <v>32445693272</v>
      </c>
      <c r="R79" s="96"/>
      <c r="S79" s="208"/>
      <c r="T79" s="373"/>
      <c r="U79" s="190"/>
      <c r="V79" s="171"/>
      <c r="W79" s="171"/>
      <c r="X79" s="171"/>
    </row>
    <row r="80" spans="1:24" s="179" customFormat="1" ht="30.75" customHeight="1">
      <c r="A80" s="176" t="s">
        <v>222</v>
      </c>
      <c r="B80" s="375"/>
      <c r="C80" s="374" t="s">
        <v>91</v>
      </c>
      <c r="E80" s="148">
        <v>0.22500000000000001</v>
      </c>
      <c r="G80" s="96">
        <v>907027404.23076916</v>
      </c>
      <c r="H80" s="96"/>
      <c r="I80" s="96">
        <v>0</v>
      </c>
      <c r="J80" s="96"/>
      <c r="K80" s="96">
        <f t="shared" si="3"/>
        <v>907027404.23076916</v>
      </c>
      <c r="L80" s="96"/>
      <c r="M80" s="96">
        <v>1619691793.2692306</v>
      </c>
      <c r="N80" s="96"/>
      <c r="O80" s="96">
        <v>-3532404</v>
      </c>
      <c r="P80" s="96"/>
      <c r="Q80" s="96">
        <f t="shared" si="4"/>
        <v>1616159389.2692306</v>
      </c>
      <c r="R80" s="96"/>
      <c r="S80" s="208"/>
      <c r="T80" s="373"/>
      <c r="U80" s="190"/>
      <c r="V80" s="171"/>
      <c r="W80" s="171"/>
      <c r="X80" s="171"/>
    </row>
    <row r="81" spans="1:24" s="179" customFormat="1" ht="30.75" customHeight="1">
      <c r="A81" s="176" t="s">
        <v>184</v>
      </c>
      <c r="B81" s="375"/>
      <c r="C81" s="374" t="s">
        <v>91</v>
      </c>
      <c r="E81" s="148">
        <v>0.22500000000000001</v>
      </c>
      <c r="G81" s="96">
        <v>2646641088.1730771</v>
      </c>
      <c r="H81" s="96"/>
      <c r="I81" s="96">
        <v>0</v>
      </c>
      <c r="J81" s="96"/>
      <c r="K81" s="96">
        <f t="shared" si="3"/>
        <v>2646641088.1730771</v>
      </c>
      <c r="L81" s="96"/>
      <c r="M81" s="96">
        <v>9982257501.6346149</v>
      </c>
      <c r="N81" s="96"/>
      <c r="O81" s="96">
        <v>-1143032</v>
      </c>
      <c r="P81" s="96"/>
      <c r="Q81" s="96">
        <f t="shared" si="4"/>
        <v>9981114469.6346149</v>
      </c>
      <c r="R81" s="96"/>
      <c r="S81" s="208"/>
      <c r="T81" s="373"/>
      <c r="U81" s="190"/>
      <c r="V81" s="171"/>
      <c r="W81" s="171"/>
      <c r="X81" s="171"/>
    </row>
    <row r="82" spans="1:24" s="179" customFormat="1" ht="30.75" customHeight="1">
      <c r="A82" s="176" t="s">
        <v>195</v>
      </c>
      <c r="B82" s="375"/>
      <c r="C82" s="374" t="s">
        <v>91</v>
      </c>
      <c r="E82" s="148">
        <v>0.22500000000000001</v>
      </c>
      <c r="G82" s="96">
        <v>414246565.38461536</v>
      </c>
      <c r="H82" s="96"/>
      <c r="I82" s="96">
        <v>0</v>
      </c>
      <c r="J82" s="96"/>
      <c r="K82" s="96">
        <f t="shared" si="3"/>
        <v>414246565.38461536</v>
      </c>
      <c r="L82" s="96"/>
      <c r="M82" s="96">
        <v>1139178054.8076923</v>
      </c>
      <c r="N82" s="96"/>
      <c r="O82" s="96">
        <v>-2060164</v>
      </c>
      <c r="P82" s="96"/>
      <c r="Q82" s="96">
        <f t="shared" si="4"/>
        <v>1137117890.8076923</v>
      </c>
      <c r="R82" s="96"/>
      <c r="S82" s="208"/>
      <c r="T82" s="373"/>
      <c r="U82" s="190"/>
      <c r="V82" s="171"/>
      <c r="W82" s="171"/>
      <c r="X82" s="171"/>
    </row>
    <row r="83" spans="1:24" s="179" customFormat="1" ht="30.75" customHeight="1">
      <c r="A83" s="176" t="s">
        <v>194</v>
      </c>
      <c r="B83" s="375"/>
      <c r="C83" s="374" t="s">
        <v>91</v>
      </c>
      <c r="E83" s="148">
        <v>0.22500000000000001</v>
      </c>
      <c r="G83" s="96">
        <v>222881908.84615386</v>
      </c>
      <c r="H83" s="96"/>
      <c r="I83" s="96">
        <v>0</v>
      </c>
      <c r="J83" s="96"/>
      <c r="K83" s="96">
        <f t="shared" si="3"/>
        <v>222881908.84615386</v>
      </c>
      <c r="L83" s="96"/>
      <c r="M83" s="96">
        <v>557204772.11538458</v>
      </c>
      <c r="N83" s="96"/>
      <c r="O83" s="96">
        <v>-2895945</v>
      </c>
      <c r="P83" s="96"/>
      <c r="Q83" s="96">
        <f t="shared" si="4"/>
        <v>554308827.11538458</v>
      </c>
      <c r="R83" s="96"/>
      <c r="S83" s="208"/>
      <c r="T83" s="373"/>
      <c r="U83" s="190"/>
      <c r="V83" s="171"/>
      <c r="W83" s="171"/>
      <c r="X83" s="171"/>
    </row>
    <row r="84" spans="1:24" s="179" customFormat="1" ht="30.75" customHeight="1">
      <c r="A84" s="176" t="s">
        <v>221</v>
      </c>
      <c r="B84" s="375"/>
      <c r="C84" s="374" t="s">
        <v>91</v>
      </c>
      <c r="E84" s="148">
        <v>0.22500000000000001</v>
      </c>
      <c r="G84" s="96">
        <v>374030127.69230771</v>
      </c>
      <c r="H84" s="96"/>
      <c r="I84" s="96">
        <v>0</v>
      </c>
      <c r="J84" s="96"/>
      <c r="K84" s="96">
        <f t="shared" si="3"/>
        <v>374030127.69230771</v>
      </c>
      <c r="L84" s="96"/>
      <c r="M84" s="96">
        <v>774776693.07692313</v>
      </c>
      <c r="N84" s="96"/>
      <c r="O84" s="96">
        <v>-6273012</v>
      </c>
      <c r="P84" s="96"/>
      <c r="Q84" s="96">
        <f t="shared" si="4"/>
        <v>768503681.07692313</v>
      </c>
      <c r="R84" s="96"/>
      <c r="S84" s="208"/>
      <c r="T84" s="373"/>
      <c r="U84" s="190"/>
      <c r="V84" s="171"/>
      <c r="W84" s="171"/>
      <c r="X84" s="171"/>
    </row>
    <row r="85" spans="1:24" s="179" customFormat="1" ht="30.75" customHeight="1">
      <c r="A85" s="176" t="s">
        <v>223</v>
      </c>
      <c r="B85" s="375"/>
      <c r="C85" s="374" t="s">
        <v>91</v>
      </c>
      <c r="E85" s="148">
        <v>0.22500000000000001</v>
      </c>
      <c r="G85" s="96">
        <v>523158905.76923072</v>
      </c>
      <c r="H85" s="96"/>
      <c r="I85" s="96">
        <v>-446240</v>
      </c>
      <c r="J85" s="96"/>
      <c r="K85" s="96">
        <f t="shared" si="3"/>
        <v>522712665.76923072</v>
      </c>
      <c r="L85" s="96"/>
      <c r="M85" s="96">
        <v>1027633564.9038461</v>
      </c>
      <c r="N85" s="96"/>
      <c r="O85" s="96">
        <v>-846439</v>
      </c>
      <c r="P85" s="96"/>
      <c r="Q85" s="96">
        <f t="shared" si="4"/>
        <v>1026787125.9038461</v>
      </c>
      <c r="R85" s="96"/>
      <c r="S85" s="208"/>
      <c r="T85" s="373"/>
      <c r="U85" s="190"/>
      <c r="V85" s="171"/>
      <c r="W85" s="171"/>
      <c r="X85" s="171"/>
    </row>
    <row r="86" spans="1:24" s="179" customFormat="1" ht="30.75" customHeight="1">
      <c r="A86" s="176" t="s">
        <v>224</v>
      </c>
      <c r="B86" s="375"/>
      <c r="C86" s="374" t="s">
        <v>91</v>
      </c>
      <c r="E86" s="148">
        <v>0.22500000000000001</v>
      </c>
      <c r="G86" s="96">
        <v>1052583300</v>
      </c>
      <c r="H86" s="96"/>
      <c r="I86" s="96">
        <v>-1726738</v>
      </c>
      <c r="J86" s="96"/>
      <c r="K86" s="96">
        <f t="shared" si="3"/>
        <v>1050856562</v>
      </c>
      <c r="L86" s="96"/>
      <c r="M86" s="96">
        <v>1052583300</v>
      </c>
      <c r="N86" s="96"/>
      <c r="O86" s="96">
        <v>-1726738</v>
      </c>
      <c r="P86" s="96"/>
      <c r="Q86" s="96">
        <f t="shared" si="4"/>
        <v>1050856562</v>
      </c>
      <c r="R86" s="96"/>
      <c r="S86" s="208"/>
      <c r="T86" s="373"/>
      <c r="U86" s="190"/>
      <c r="V86" s="171"/>
      <c r="W86" s="171"/>
      <c r="X86" s="171"/>
    </row>
    <row r="87" spans="1:24" s="179" customFormat="1" ht="30.75" customHeight="1">
      <c r="A87" s="176" t="s">
        <v>269</v>
      </c>
      <c r="B87" s="375"/>
      <c r="C87" s="374" t="s">
        <v>91</v>
      </c>
      <c r="E87" s="148">
        <v>0.22500000000000001</v>
      </c>
      <c r="G87" s="96">
        <v>166438356.05769232</v>
      </c>
      <c r="H87" s="96"/>
      <c r="I87" s="96">
        <v>-775282</v>
      </c>
      <c r="J87" s="96"/>
      <c r="K87" s="96">
        <f t="shared" si="3"/>
        <v>165663074.05769232</v>
      </c>
      <c r="L87" s="96"/>
      <c r="M87" s="96">
        <v>166438356.05769232</v>
      </c>
      <c r="N87" s="96"/>
      <c r="O87" s="96">
        <v>-775282</v>
      </c>
      <c r="P87" s="96"/>
      <c r="Q87" s="96">
        <f t="shared" si="4"/>
        <v>165663074.05769232</v>
      </c>
      <c r="R87" s="96"/>
      <c r="S87" s="208"/>
      <c r="T87" s="373"/>
      <c r="U87" s="190"/>
      <c r="V87" s="171"/>
      <c r="W87" s="171"/>
      <c r="X87" s="171"/>
    </row>
    <row r="88" spans="1:24" s="179" customFormat="1" ht="30.75" customHeight="1">
      <c r="A88" s="176" t="s">
        <v>266</v>
      </c>
      <c r="B88" s="375"/>
      <c r="C88" s="374" t="s">
        <v>91</v>
      </c>
      <c r="E88" s="148">
        <v>0.22500000000000001</v>
      </c>
      <c r="G88" s="96">
        <v>80136986.538461536</v>
      </c>
      <c r="H88" s="96"/>
      <c r="I88" s="96">
        <v>-348974</v>
      </c>
      <c r="J88" s="96"/>
      <c r="K88" s="96">
        <f t="shared" si="3"/>
        <v>79788012.538461536</v>
      </c>
      <c r="L88" s="96"/>
      <c r="M88" s="96">
        <v>80136986.538461536</v>
      </c>
      <c r="N88" s="96"/>
      <c r="O88" s="96">
        <v>-348974</v>
      </c>
      <c r="P88" s="96"/>
      <c r="Q88" s="96">
        <f t="shared" si="4"/>
        <v>79788012.538461536</v>
      </c>
      <c r="R88" s="96"/>
      <c r="S88" s="208"/>
      <c r="T88" s="373"/>
      <c r="U88" s="190"/>
      <c r="V88" s="171"/>
      <c r="W88" s="171"/>
      <c r="X88" s="171"/>
    </row>
    <row r="89" spans="1:24" s="179" customFormat="1" ht="30.75" customHeight="1">
      <c r="A89" s="176" t="s">
        <v>185</v>
      </c>
      <c r="B89" s="375"/>
      <c r="C89" s="374" t="s">
        <v>91</v>
      </c>
      <c r="E89" s="133" t="s">
        <v>91</v>
      </c>
      <c r="G89" s="96">
        <f>19860+993555833</f>
        <v>993575693</v>
      </c>
      <c r="H89" s="96"/>
      <c r="I89" s="96">
        <v>0</v>
      </c>
      <c r="J89" s="96"/>
      <c r="K89" s="96">
        <f t="shared" si="3"/>
        <v>993575693</v>
      </c>
      <c r="L89" s="96"/>
      <c r="M89" s="96">
        <f>40126+2551095715</f>
        <v>2551135841</v>
      </c>
      <c r="N89" s="96"/>
      <c r="O89" s="96">
        <v>0</v>
      </c>
      <c r="P89" s="96"/>
      <c r="Q89" s="96">
        <f t="shared" si="4"/>
        <v>2551135841</v>
      </c>
      <c r="R89" s="96"/>
      <c r="S89" s="208"/>
      <c r="T89" s="373"/>
      <c r="U89" s="190"/>
      <c r="V89" s="171"/>
      <c r="W89" s="171"/>
      <c r="X89" s="171"/>
    </row>
    <row r="90" spans="1:24" s="179" customFormat="1" ht="30.75" customHeight="1">
      <c r="A90" s="176" t="s">
        <v>268</v>
      </c>
      <c r="B90" s="375"/>
      <c r="C90" s="374" t="s">
        <v>91</v>
      </c>
      <c r="E90" s="133" t="s">
        <v>91</v>
      </c>
      <c r="G90" s="96">
        <v>724931506.38461494</v>
      </c>
      <c r="H90" s="96"/>
      <c r="I90" s="96">
        <v>0</v>
      </c>
      <c r="J90" s="96"/>
      <c r="K90" s="96">
        <f t="shared" si="3"/>
        <v>724931506.38461494</v>
      </c>
      <c r="L90" s="96"/>
      <c r="M90" s="96">
        <v>724931506.38461494</v>
      </c>
      <c r="N90" s="96"/>
      <c r="O90" s="96"/>
      <c r="P90" s="96"/>
      <c r="Q90" s="96"/>
      <c r="R90" s="96"/>
      <c r="S90" s="208"/>
      <c r="T90" s="373"/>
      <c r="U90" s="190"/>
      <c r="V90" s="171"/>
      <c r="W90" s="171"/>
      <c r="X90" s="171"/>
    </row>
    <row r="91" spans="1:24" s="179" customFormat="1" ht="30.75" customHeight="1">
      <c r="A91" s="176" t="s">
        <v>228</v>
      </c>
      <c r="B91" s="375"/>
      <c r="C91" s="374" t="s">
        <v>91</v>
      </c>
      <c r="E91" s="133" t="s">
        <v>91</v>
      </c>
      <c r="G91" s="96">
        <v>2378</v>
      </c>
      <c r="H91" s="96"/>
      <c r="I91" s="96">
        <v>0</v>
      </c>
      <c r="J91" s="96"/>
      <c r="K91" s="96">
        <f>G91+I91</f>
        <v>2378</v>
      </c>
      <c r="L91" s="96"/>
      <c r="M91" s="96">
        <v>47172</v>
      </c>
      <c r="N91" s="96"/>
      <c r="O91" s="96">
        <v>0</v>
      </c>
      <c r="P91" s="96"/>
      <c r="Q91" s="96">
        <f t="shared" si="4"/>
        <v>47172</v>
      </c>
      <c r="R91" s="96"/>
      <c r="S91" s="208"/>
      <c r="T91" s="373"/>
      <c r="U91" s="190"/>
      <c r="V91" s="171"/>
      <c r="W91" s="171"/>
      <c r="X91" s="171"/>
    </row>
    <row r="92" spans="1:24" s="179" customFormat="1" ht="30.75" customHeight="1" thickBot="1">
      <c r="A92" s="176"/>
      <c r="B92" s="375"/>
      <c r="C92" s="374"/>
      <c r="E92" s="133"/>
      <c r="G92" s="166">
        <f>SUM(G7:G91)</f>
        <v>28605787611.958275</v>
      </c>
      <c r="H92" s="96"/>
      <c r="I92" s="166">
        <f>SUM(I7:I91)</f>
        <v>-80663168</v>
      </c>
      <c r="J92" s="96"/>
      <c r="K92" s="166">
        <f>SUM(K7:K91)</f>
        <v>28525124443.958275</v>
      </c>
      <c r="L92" s="96"/>
      <c r="M92" s="166">
        <f>SUM(M7:M91)</f>
        <v>397156949336.53381</v>
      </c>
      <c r="N92" s="96"/>
      <c r="O92" s="166">
        <f>SUM(O7:O91)</f>
        <v>-119532148</v>
      </c>
      <c r="P92" s="96" t="e">
        <f>SUM(#REF!)</f>
        <v>#REF!</v>
      </c>
      <c r="Q92" s="166">
        <f>SUM(Q7:Q91)</f>
        <v>396312485682.14917</v>
      </c>
      <c r="R92" s="96"/>
      <c r="S92" s="171"/>
      <c r="T92" s="171"/>
      <c r="U92" s="171"/>
      <c r="V92" s="171"/>
      <c r="W92" s="171"/>
      <c r="X92" s="171"/>
    </row>
    <row r="93" spans="1:24" ht="30.75" customHeight="1" thickTop="1">
      <c r="G93" s="376"/>
      <c r="H93" s="179"/>
      <c r="I93" s="376"/>
      <c r="J93" s="179"/>
      <c r="L93" s="179"/>
      <c r="M93" s="303"/>
      <c r="N93" s="179"/>
      <c r="R93" s="108"/>
    </row>
    <row r="94" spans="1:24" s="377" customFormat="1" ht="30.75" customHeight="1">
      <c r="G94" s="376"/>
      <c r="H94" s="167"/>
      <c r="I94" s="376"/>
      <c r="J94" s="167"/>
      <c r="K94" s="92"/>
      <c r="L94" s="167"/>
      <c r="M94" s="92"/>
      <c r="N94" s="167"/>
      <c r="O94" s="92"/>
      <c r="P94" s="92"/>
      <c r="Q94" s="92"/>
      <c r="R94" s="102"/>
      <c r="S94" s="171"/>
      <c r="T94" s="171"/>
      <c r="U94" s="171"/>
      <c r="V94" s="171"/>
    </row>
    <row r="95" spans="1:24" s="96" customFormat="1" ht="30.75" customHeight="1">
      <c r="I95" s="376"/>
      <c r="R95" s="92"/>
      <c r="S95" s="377"/>
      <c r="T95" s="377"/>
      <c r="U95" s="377"/>
      <c r="V95" s="377"/>
    </row>
    <row r="96" spans="1:24" s="96" customFormat="1" ht="30.75" customHeight="1">
      <c r="I96" s="376"/>
    </row>
    <row r="97" spans="7:22" s="96" customFormat="1" ht="30.75" customHeight="1">
      <c r="I97" s="376"/>
    </row>
    <row r="98" spans="7:22" s="96" customFormat="1" ht="30.75" customHeight="1">
      <c r="I98" s="376"/>
    </row>
    <row r="99" spans="7:22" s="152" customFormat="1" ht="30.75" customHeight="1">
      <c r="G99" s="149"/>
      <c r="I99" s="376"/>
      <c r="M99" s="149"/>
      <c r="O99" s="149"/>
      <c r="R99" s="96"/>
      <c r="S99" s="96"/>
      <c r="T99" s="96"/>
      <c r="U99" s="96"/>
      <c r="V99" s="96"/>
    </row>
    <row r="100" spans="7:22" s="152" customFormat="1" ht="30.75" customHeight="1">
      <c r="G100" s="149"/>
      <c r="I100" s="376"/>
      <c r="M100" s="149"/>
      <c r="O100" s="149"/>
    </row>
    <row r="101" spans="7:22" s="108" customFormat="1" ht="30.75" customHeight="1">
      <c r="G101" s="149"/>
      <c r="I101" s="376"/>
      <c r="K101" s="149"/>
      <c r="M101" s="149"/>
      <c r="N101" s="149"/>
      <c r="O101" s="149"/>
      <c r="P101" s="149"/>
      <c r="Q101" s="149"/>
      <c r="R101" s="152"/>
      <c r="S101" s="152"/>
      <c r="T101" s="152"/>
      <c r="U101" s="152"/>
      <c r="V101" s="152"/>
    </row>
    <row r="102" spans="7:22" s="108" customFormat="1" ht="30.75" customHeight="1">
      <c r="G102" s="96"/>
      <c r="I102" s="376"/>
      <c r="K102" s="103"/>
      <c r="M102" s="96"/>
      <c r="O102" s="96"/>
      <c r="Q102" s="103"/>
    </row>
    <row r="103" spans="7:22" s="108" customFormat="1" ht="30.75" customHeight="1">
      <c r="G103" s="150"/>
      <c r="I103" s="376"/>
      <c r="K103" s="151"/>
      <c r="Q103" s="151"/>
    </row>
    <row r="104" spans="7:22" ht="30.75" customHeight="1">
      <c r="K104" s="92"/>
      <c r="Q104" s="92"/>
      <c r="R104" s="108"/>
      <c r="S104" s="108"/>
      <c r="T104" s="108"/>
      <c r="U104" s="108"/>
      <c r="V104" s="108"/>
    </row>
    <row r="105" spans="7:22" ht="30.75" customHeight="1">
      <c r="G105" s="92"/>
      <c r="I105" s="92"/>
      <c r="K105" s="92"/>
      <c r="M105" s="92"/>
      <c r="R105" s="92"/>
    </row>
    <row r="106" spans="7:22" ht="30.75" customHeight="1">
      <c r="K106" s="92"/>
      <c r="Q106" s="92"/>
    </row>
    <row r="107" spans="7:22" ht="30.75" customHeight="1">
      <c r="K107" s="92"/>
      <c r="Q107" s="92"/>
      <c r="R107" s="92"/>
    </row>
    <row r="108" spans="7:22" ht="30.75" customHeight="1">
      <c r="R108" s="92"/>
    </row>
  </sheetData>
  <autoFilter ref="A6:Q91" xr:uid="{00000000-0009-0000-0000-000006000000}"/>
  <mergeCells count="7">
    <mergeCell ref="A4:G4"/>
    <mergeCell ref="B5:E5"/>
    <mergeCell ref="M5:Q5"/>
    <mergeCell ref="A1:Q1"/>
    <mergeCell ref="A2:Q2"/>
    <mergeCell ref="A3:Q3"/>
    <mergeCell ref="G5:K5"/>
  </mergeCells>
  <phoneticPr fontId="58" type="noConversion"/>
  <printOptions horizontalCentered="1"/>
  <pageMargins left="0.25" right="0.25" top="0.75" bottom="0.75" header="0.3" footer="0.3"/>
  <pageSetup paperSize="9" scale="63" fitToHeight="0" orientation="landscape" r:id="rId1"/>
  <rowBreaks count="2" manualBreakCount="2">
    <brk id="48" max="16" man="1"/>
    <brk id="9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0"/>
  <sheetViews>
    <sheetView rightToLeft="1" view="pageBreakPreview" zoomScale="80" zoomScaleNormal="100" zoomScaleSheetLayoutView="80" workbookViewId="0">
      <selection activeCell="O7" sqref="O7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235" t="s">
        <v>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19" ht="22.5">
      <c r="A2" s="235" t="s">
        <v>56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ht="22.5">
      <c r="A3" s="235" t="s">
        <v>239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1:19" ht="22.5">
      <c r="A4" s="236" t="s">
        <v>75</v>
      </c>
      <c r="B4" s="236"/>
      <c r="C4" s="236"/>
      <c r="D4" s="236"/>
      <c r="E4" s="236"/>
      <c r="F4" s="236"/>
      <c r="G4" s="236"/>
      <c r="H4" s="236"/>
      <c r="I4" s="237"/>
      <c r="J4" s="237"/>
      <c r="K4" s="237"/>
      <c r="L4" s="237"/>
      <c r="M4" s="237"/>
      <c r="N4" s="237"/>
      <c r="O4" s="237"/>
      <c r="P4" s="237"/>
      <c r="Q4" s="236"/>
      <c r="R4" s="236"/>
      <c r="S4" s="236"/>
    </row>
    <row r="6" spans="1:19" ht="18.75">
      <c r="C6" s="233" t="s">
        <v>76</v>
      </c>
      <c r="D6" s="234"/>
      <c r="E6" s="234"/>
      <c r="F6" s="234"/>
      <c r="G6" s="234"/>
      <c r="I6" s="233" t="s">
        <v>77</v>
      </c>
      <c r="J6" s="234"/>
      <c r="K6" s="234"/>
      <c r="L6" s="234"/>
      <c r="M6" s="234"/>
      <c r="O6" s="233" t="s">
        <v>240</v>
      </c>
      <c r="P6" s="234"/>
      <c r="Q6" s="234"/>
      <c r="R6" s="234"/>
      <c r="S6" s="234"/>
    </row>
    <row r="7" spans="1:19" ht="56.25">
      <c r="A7" s="31" t="s">
        <v>78</v>
      </c>
      <c r="C7" s="28" t="s">
        <v>79</v>
      </c>
      <c r="E7" s="28" t="s">
        <v>80</v>
      </c>
      <c r="G7" s="28" t="s">
        <v>81</v>
      </c>
      <c r="I7" s="28" t="s">
        <v>82</v>
      </c>
      <c r="K7" s="28" t="s">
        <v>83</v>
      </c>
      <c r="M7" s="28" t="s">
        <v>84</v>
      </c>
      <c r="O7" s="28" t="s">
        <v>82</v>
      </c>
      <c r="Q7" s="28" t="s">
        <v>83</v>
      </c>
      <c r="S7" s="28" t="s">
        <v>84</v>
      </c>
    </row>
    <row r="8" spans="1:19" ht="21.75">
      <c r="A8" s="85" t="s">
        <v>92</v>
      </c>
      <c r="B8" s="27"/>
      <c r="C8" s="40" t="s">
        <v>91</v>
      </c>
      <c r="D8" s="8"/>
      <c r="E8" s="40" t="s">
        <v>91</v>
      </c>
      <c r="F8" s="8"/>
      <c r="G8" s="53">
        <v>0</v>
      </c>
      <c r="H8" s="8"/>
      <c r="I8" s="51">
        <v>0</v>
      </c>
      <c r="J8" s="51"/>
      <c r="K8" s="51">
        <v>0</v>
      </c>
      <c r="L8" s="51"/>
      <c r="M8" s="51">
        <f>I8+K8</f>
        <v>0</v>
      </c>
      <c r="N8" s="51"/>
      <c r="O8" s="51">
        <v>0</v>
      </c>
      <c r="P8" s="51"/>
      <c r="Q8" s="51">
        <v>0</v>
      </c>
      <c r="R8" s="51"/>
      <c r="S8" s="51">
        <f>O8+Q8</f>
        <v>0</v>
      </c>
    </row>
    <row r="9" spans="1:19" ht="18.75" thickBot="1">
      <c r="A9" s="29" t="s">
        <v>85</v>
      </c>
      <c r="I9" s="52">
        <f>SUM(I8:I8)</f>
        <v>0</v>
      </c>
      <c r="J9" s="29" t="e">
        <f>SUM(#REF!)</f>
        <v>#REF!</v>
      </c>
      <c r="K9" s="52">
        <f>SUM(K8:K8)</f>
        <v>0</v>
      </c>
      <c r="L9" s="29" t="e">
        <f>SUM(#REF!)</f>
        <v>#REF!</v>
      </c>
      <c r="M9" s="52">
        <f>SUM(M8:M8)</f>
        <v>0</v>
      </c>
      <c r="N9" s="29" t="e">
        <f>SUM(#REF!)</f>
        <v>#REF!</v>
      </c>
      <c r="O9" s="52">
        <f>SUM(O8:O8)</f>
        <v>0</v>
      </c>
      <c r="P9" s="29"/>
      <c r="Q9" s="52">
        <f>SUM(Q8)</f>
        <v>0</v>
      </c>
      <c r="R9" s="29" t="e">
        <f>SUM(#REF!)</f>
        <v>#REF!</v>
      </c>
      <c r="S9" s="52">
        <f>SUM(S8:S8)</f>
        <v>0</v>
      </c>
    </row>
    <row r="10" spans="1:19" ht="18.75" thickTop="1">
      <c r="I10" s="30"/>
      <c r="K10" s="30"/>
      <c r="M10" s="30"/>
      <c r="O10" s="30"/>
      <c r="Q10" s="30"/>
      <c r="S10" s="30"/>
    </row>
    <row r="11" spans="1:19" ht="16.5" customHeight="1"/>
    <row r="12" spans="1:19" s="51" customFormat="1" ht="18"/>
    <row r="13" spans="1:19" s="51" customFormat="1" ht="18"/>
    <row r="14" spans="1:19" s="51" customFormat="1" ht="18"/>
    <row r="15" spans="1:19" s="51" customFormat="1" ht="18"/>
    <row r="16" spans="1:19" s="51" customFormat="1" ht="18"/>
    <row r="17" s="51" customFormat="1" ht="18"/>
    <row r="18" s="51" customFormat="1" ht="18"/>
    <row r="19" s="51" customFormat="1" ht="18"/>
    <row r="20" s="51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29"/>
  <sheetViews>
    <sheetView rightToLeft="1" view="pageBreakPreview" zoomScale="80" zoomScaleNormal="100" zoomScaleSheetLayoutView="80" workbookViewId="0">
      <selection activeCell="Q8" sqref="Q8"/>
    </sheetView>
  </sheetViews>
  <sheetFormatPr defaultColWidth="9.140625" defaultRowHeight="17.25"/>
  <cols>
    <col min="1" max="1" width="41.140625" style="168" bestFit="1" customWidth="1"/>
    <col min="2" max="2" width="1.28515625" style="168" customWidth="1"/>
    <col min="3" max="3" width="18.42578125" style="168" bestFit="1" customWidth="1"/>
    <col min="4" max="4" width="0.85546875" style="168" customWidth="1"/>
    <col min="5" max="5" width="24.5703125" style="112" customWidth="1"/>
    <col min="6" max="6" width="0.5703125" style="112" customWidth="1"/>
    <col min="7" max="7" width="24.7109375" style="112" bestFit="1" customWidth="1"/>
    <col min="8" max="8" width="0.85546875" style="112" customWidth="1"/>
    <col min="9" max="9" width="22" style="113" customWidth="1"/>
    <col min="10" max="10" width="0.5703125" style="113" customWidth="1"/>
    <col min="11" max="11" width="19" style="113" customWidth="1"/>
    <col min="12" max="12" width="0.42578125" style="113" customWidth="1"/>
    <col min="13" max="13" width="26.28515625" style="113" bestFit="1" customWidth="1"/>
    <col min="14" max="14" width="0.42578125" style="113" customWidth="1"/>
    <col min="15" max="15" width="25.28515625" style="113" bestFit="1" customWidth="1"/>
    <col min="16" max="16" width="0.5703125" style="113" customWidth="1"/>
    <col min="17" max="17" width="24.28515625" style="113" bestFit="1" customWidth="1"/>
    <col min="18" max="18" width="6.42578125" style="168" customWidth="1"/>
    <col min="19" max="19" width="6" style="168" customWidth="1"/>
    <col min="20" max="20" width="11.7109375" style="168" bestFit="1" customWidth="1"/>
    <col min="21" max="21" width="9.140625" style="168"/>
    <col min="22" max="22" width="10.85546875" style="168" bestFit="1" customWidth="1"/>
    <col min="23" max="16384" width="9.140625" style="168"/>
  </cols>
  <sheetData>
    <row r="1" spans="1:23" ht="22.5">
      <c r="A1" s="245" t="s">
        <v>89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23" ht="22.5">
      <c r="A2" s="245" t="s">
        <v>56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</row>
    <row r="3" spans="1:23" ht="22.5">
      <c r="A3" s="245" t="str">
        <f>' سهام'!A3:W3</f>
        <v>برای ماه منتهی به 1402/06/31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23" ht="22.5">
      <c r="A4" s="378" t="s">
        <v>63</v>
      </c>
      <c r="B4" s="378"/>
      <c r="C4" s="378"/>
      <c r="D4" s="378"/>
      <c r="E4" s="378"/>
      <c r="F4" s="378"/>
      <c r="G4" s="378"/>
      <c r="H4" s="378"/>
      <c r="I4" s="378"/>
      <c r="J4" s="239"/>
      <c r="K4" s="239"/>
      <c r="L4" s="239"/>
      <c r="M4" s="239"/>
      <c r="N4" s="239"/>
      <c r="O4" s="239"/>
      <c r="P4" s="239"/>
      <c r="Q4" s="239"/>
    </row>
    <row r="5" spans="1:23" ht="15.75" customHeight="1" thickBot="1">
      <c r="A5" s="179"/>
      <c r="B5" s="179"/>
      <c r="C5" s="379" t="s">
        <v>241</v>
      </c>
      <c r="D5" s="379"/>
      <c r="E5" s="379"/>
      <c r="F5" s="379"/>
      <c r="G5" s="379"/>
      <c r="H5" s="379"/>
      <c r="I5" s="379"/>
      <c r="J5" s="26"/>
      <c r="K5" s="238" t="s">
        <v>242</v>
      </c>
      <c r="L5" s="238"/>
      <c r="M5" s="238"/>
      <c r="N5" s="238"/>
      <c r="O5" s="238"/>
      <c r="P5" s="238"/>
      <c r="Q5" s="238"/>
    </row>
    <row r="6" spans="1:23" ht="22.5" thickBot="1">
      <c r="A6" s="380" t="s">
        <v>38</v>
      </c>
      <c r="B6" s="380"/>
      <c r="C6" s="381" t="s">
        <v>3</v>
      </c>
      <c r="D6" s="380"/>
      <c r="E6" s="127" t="s">
        <v>45</v>
      </c>
      <c r="F6" s="105"/>
      <c r="G6" s="128" t="s">
        <v>42</v>
      </c>
      <c r="H6" s="105"/>
      <c r="I6" s="125" t="s">
        <v>46</v>
      </c>
      <c r="J6" s="26"/>
      <c r="K6" s="124" t="s">
        <v>3</v>
      </c>
      <c r="L6" s="106"/>
      <c r="M6" s="125" t="s">
        <v>21</v>
      </c>
      <c r="N6" s="106"/>
      <c r="O6" s="124" t="s">
        <v>42</v>
      </c>
      <c r="P6" s="106"/>
      <c r="Q6" s="126" t="s">
        <v>46</v>
      </c>
    </row>
    <row r="7" spans="1:23" ht="21.75">
      <c r="A7" s="382" t="s">
        <v>118</v>
      </c>
      <c r="B7" s="167"/>
      <c r="C7" s="107">
        <v>0</v>
      </c>
      <c r="D7" s="167"/>
      <c r="E7" s="107">
        <v>0</v>
      </c>
      <c r="F7" s="96"/>
      <c r="G7" s="108">
        <v>0</v>
      </c>
      <c r="H7" s="96"/>
      <c r="I7" s="96">
        <f>G7+E7</f>
        <v>0</v>
      </c>
      <c r="J7" s="109"/>
      <c r="K7" s="107">
        <v>880000</v>
      </c>
      <c r="L7" s="167"/>
      <c r="M7" s="107">
        <v>873290881379</v>
      </c>
      <c r="N7" s="96"/>
      <c r="O7" s="108">
        <f t="shared" ref="O7:O12" si="0">Q7-M7</f>
        <v>-858492447038</v>
      </c>
      <c r="P7" s="110"/>
      <c r="Q7" s="96">
        <v>14798434341</v>
      </c>
      <c r="R7" s="383"/>
      <c r="S7" s="383"/>
      <c r="T7" s="178"/>
      <c r="U7" s="170"/>
      <c r="V7" s="178"/>
      <c r="W7" s="170"/>
    </row>
    <row r="8" spans="1:23" ht="21.75">
      <c r="A8" s="382" t="s">
        <v>119</v>
      </c>
      <c r="B8" s="167"/>
      <c r="C8" s="107">
        <v>0</v>
      </c>
      <c r="D8" s="167"/>
      <c r="E8" s="107">
        <v>0</v>
      </c>
      <c r="F8" s="96"/>
      <c r="G8" s="108">
        <v>0</v>
      </c>
      <c r="H8" s="96"/>
      <c r="I8" s="96">
        <f t="shared" ref="I8" si="1">G8+E8</f>
        <v>0</v>
      </c>
      <c r="J8" s="109"/>
      <c r="K8" s="107">
        <v>60000</v>
      </c>
      <c r="L8" s="167"/>
      <c r="M8" s="107">
        <v>60363697098</v>
      </c>
      <c r="N8" s="96"/>
      <c r="O8" s="108">
        <f t="shared" si="0"/>
        <v>-59812485537</v>
      </c>
      <c r="P8" s="110"/>
      <c r="Q8" s="96">
        <v>551211561</v>
      </c>
      <c r="R8" s="383"/>
      <c r="S8" s="383"/>
      <c r="T8" s="178"/>
      <c r="U8" s="170"/>
      <c r="V8" s="178"/>
      <c r="W8" s="170"/>
    </row>
    <row r="9" spans="1:23" ht="21.75">
      <c r="A9" s="382" t="s">
        <v>151</v>
      </c>
      <c r="B9" s="167"/>
      <c r="C9" s="107">
        <v>0</v>
      </c>
      <c r="D9" s="167"/>
      <c r="E9" s="107">
        <v>0</v>
      </c>
      <c r="F9" s="96"/>
      <c r="G9" s="108">
        <v>0</v>
      </c>
      <c r="H9" s="96"/>
      <c r="I9" s="96">
        <f>G9+E9</f>
        <v>0</v>
      </c>
      <c r="J9" s="109"/>
      <c r="K9" s="107">
        <v>25000</v>
      </c>
      <c r="L9" s="167"/>
      <c r="M9" s="107">
        <v>23008328986</v>
      </c>
      <c r="N9" s="96"/>
      <c r="O9" s="108">
        <f t="shared" si="0"/>
        <v>-22958828986</v>
      </c>
      <c r="P9" s="110"/>
      <c r="Q9" s="96">
        <v>49500000</v>
      </c>
      <c r="T9" s="178"/>
      <c r="U9" s="170"/>
      <c r="V9" s="178"/>
      <c r="W9" s="170"/>
    </row>
    <row r="10" spans="1:23" ht="21.75">
      <c r="A10" s="382" t="s">
        <v>150</v>
      </c>
      <c r="B10" s="167"/>
      <c r="C10" s="107">
        <v>0</v>
      </c>
      <c r="D10" s="167"/>
      <c r="E10" s="107">
        <v>0</v>
      </c>
      <c r="F10" s="96"/>
      <c r="G10" s="108">
        <v>0</v>
      </c>
      <c r="H10" s="96"/>
      <c r="I10" s="96">
        <f>G10+E10</f>
        <v>0</v>
      </c>
      <c r="J10" s="109"/>
      <c r="K10" s="107">
        <v>10420</v>
      </c>
      <c r="L10" s="167"/>
      <c r="M10" s="107">
        <v>10420000000</v>
      </c>
      <c r="N10" s="96"/>
      <c r="O10" s="108">
        <f t="shared" si="0"/>
        <v>-9380399871</v>
      </c>
      <c r="P10" s="110"/>
      <c r="Q10" s="96">
        <v>1039600129</v>
      </c>
      <c r="T10" s="178"/>
      <c r="U10" s="170"/>
      <c r="V10" s="178"/>
      <c r="W10" s="170"/>
    </row>
    <row r="11" spans="1:23" ht="21.75">
      <c r="A11" s="382" t="s">
        <v>111</v>
      </c>
      <c r="B11" s="167"/>
      <c r="C11" s="107">
        <v>0</v>
      </c>
      <c r="D11" s="167"/>
      <c r="E11" s="107">
        <v>0</v>
      </c>
      <c r="F11" s="96"/>
      <c r="G11" s="108">
        <v>0</v>
      </c>
      <c r="H11" s="96"/>
      <c r="I11" s="96">
        <f>G11+E11</f>
        <v>0</v>
      </c>
      <c r="J11" s="109"/>
      <c r="K11" s="107">
        <v>550000</v>
      </c>
      <c r="L11" s="167"/>
      <c r="M11" s="107">
        <v>568229000000</v>
      </c>
      <c r="N11" s="96"/>
      <c r="O11" s="108">
        <f t="shared" si="0"/>
        <v>-553622384129</v>
      </c>
      <c r="P11" s="110"/>
      <c r="Q11" s="96">
        <v>14606615871</v>
      </c>
      <c r="T11" s="178"/>
      <c r="U11" s="170"/>
      <c r="V11" s="178"/>
      <c r="W11" s="170"/>
    </row>
    <row r="12" spans="1:23" ht="21.75">
      <c r="A12" s="382" t="s">
        <v>189</v>
      </c>
      <c r="B12" s="167"/>
      <c r="C12" s="107">
        <v>1015000</v>
      </c>
      <c r="D12" s="167"/>
      <c r="E12" s="107">
        <v>1004049950000</v>
      </c>
      <c r="F12" s="96"/>
      <c r="G12" s="108">
        <v>-1004049950000</v>
      </c>
      <c r="H12" s="96"/>
      <c r="I12" s="96">
        <f>G12+E12</f>
        <v>0</v>
      </c>
      <c r="J12" s="109"/>
      <c r="K12" s="107">
        <v>1015000</v>
      </c>
      <c r="L12" s="167"/>
      <c r="M12" s="107">
        <v>1015000000000</v>
      </c>
      <c r="N12" s="96"/>
      <c r="O12" s="108">
        <f t="shared" si="0"/>
        <v>-1004049950000</v>
      </c>
      <c r="P12" s="110"/>
      <c r="Q12" s="96">
        <v>10950050000</v>
      </c>
      <c r="T12" s="178"/>
      <c r="U12" s="170"/>
      <c r="V12" s="178"/>
      <c r="W12" s="170"/>
    </row>
    <row r="13" spans="1:23" ht="23.25" thickBot="1">
      <c r="C13" s="170">
        <f>SUM(C7:C12)</f>
        <v>1015000</v>
      </c>
      <c r="E13" s="169">
        <f>SUM(E7:E12)</f>
        <v>1004049950000</v>
      </c>
      <c r="F13" s="168"/>
      <c r="G13" s="169">
        <f>SUM(G7:G12)</f>
        <v>-1004049950000</v>
      </c>
      <c r="H13" s="168"/>
      <c r="I13" s="169">
        <f>SUM(I7:I12)</f>
        <v>0</v>
      </c>
      <c r="J13" s="168"/>
      <c r="K13" s="170">
        <f>SUM(K7:K12)</f>
        <v>2540420</v>
      </c>
      <c r="L13" s="168"/>
      <c r="M13" s="169">
        <f>SUM(M7:M12)</f>
        <v>2550311907463</v>
      </c>
      <c r="N13" s="168"/>
      <c r="O13" s="169">
        <f>SUM(O7:O12)</f>
        <v>-2508316495561</v>
      </c>
      <c r="P13" s="168"/>
      <c r="Q13" s="169">
        <f>SUM(Q7:Q12)</f>
        <v>41995411902</v>
      </c>
      <c r="T13" s="384"/>
      <c r="V13" s="384"/>
    </row>
    <row r="14" spans="1:23" ht="23.25" thickTop="1">
      <c r="E14" s="111"/>
      <c r="F14" s="168"/>
      <c r="G14" s="111"/>
      <c r="H14" s="168"/>
      <c r="I14" s="111"/>
      <c r="J14" s="168"/>
      <c r="K14" s="168"/>
      <c r="L14" s="168"/>
      <c r="M14" s="111"/>
      <c r="N14" s="168"/>
      <c r="O14" s="111"/>
      <c r="P14" s="168"/>
      <c r="Q14" s="111"/>
      <c r="V14" s="384"/>
    </row>
    <row r="15" spans="1:23" ht="10.5" customHeight="1">
      <c r="A15" s="179"/>
      <c r="B15" s="179"/>
      <c r="C15" s="179"/>
      <c r="D15" s="179"/>
      <c r="E15" s="97"/>
      <c r="F15" s="97"/>
      <c r="G15" s="97"/>
      <c r="H15" s="97"/>
      <c r="I15" s="26"/>
      <c r="J15" s="26"/>
      <c r="K15" s="26"/>
      <c r="L15" s="26"/>
      <c r="M15" s="26"/>
      <c r="N15" s="26"/>
      <c r="O15" s="26"/>
      <c r="P15" s="26"/>
      <c r="Q15" s="26"/>
    </row>
    <row r="16" spans="1:23" ht="21.75">
      <c r="A16" s="385" t="s">
        <v>44</v>
      </c>
      <c r="B16" s="386"/>
      <c r="C16" s="386"/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7"/>
      <c r="V16" s="170"/>
    </row>
    <row r="17" spans="1:17" ht="6" customHeight="1">
      <c r="A17" s="388"/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</row>
    <row r="18" spans="1:17" ht="18" customHeight="1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7" ht="24">
      <c r="I19" s="153"/>
      <c r="O19" s="114"/>
      <c r="P19" s="114"/>
      <c r="Q19" s="153"/>
    </row>
    <row r="20" spans="1:17" s="114" customFormat="1" ht="24">
      <c r="I20" s="153"/>
      <c r="Q20" s="153"/>
    </row>
    <row r="21" spans="1:17" s="115" customFormat="1" ht="24.75">
      <c r="I21" s="154"/>
      <c r="Q21" s="154"/>
    </row>
    <row r="22" spans="1:17" s="115" customFormat="1" ht="24.75"/>
    <row r="23" spans="1:17" s="114" customFormat="1" ht="24"/>
    <row r="24" spans="1:17" s="114" customFormat="1" ht="24"/>
    <row r="25" spans="1:17" s="114" customFormat="1" ht="24"/>
    <row r="26" spans="1:17" s="114" customFormat="1" ht="24"/>
    <row r="27" spans="1:17" s="114" customFormat="1" ht="24"/>
    <row r="28" spans="1:17" s="114" customFormat="1" ht="24"/>
    <row r="29" spans="1:17" s="114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6:Q16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1" fitToHeight="0" orientation="landscape" r:id="rId1"/>
  <rowBreaks count="1" manualBreakCount="1">
    <brk id="17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S27"/>
  <sheetViews>
    <sheetView rightToLeft="1" view="pageBreakPreview" zoomScale="80" zoomScaleNormal="100" zoomScaleSheetLayoutView="80" workbookViewId="0">
      <selection activeCell="O10" sqref="O10"/>
    </sheetView>
  </sheetViews>
  <sheetFormatPr defaultColWidth="9.140625" defaultRowHeight="21.75"/>
  <cols>
    <col min="1" max="1" width="33.5703125" style="168" customWidth="1"/>
    <col min="2" max="2" width="0.5703125" style="168" customWidth="1"/>
    <col min="3" max="3" width="17.7109375" style="26" bestFit="1" customWidth="1"/>
    <col min="4" max="4" width="0.85546875" style="26" customWidth="1"/>
    <col min="5" max="5" width="25.7109375" style="26" bestFit="1" customWidth="1"/>
    <col min="6" max="6" width="0.85546875" style="26" customWidth="1"/>
    <col min="7" max="7" width="26.5703125" style="26" customWidth="1"/>
    <col min="8" max="8" width="0.7109375" style="26" customWidth="1"/>
    <col min="9" max="9" width="25.140625" style="26" customWidth="1"/>
    <col min="10" max="10" width="1.42578125" style="26" customWidth="1"/>
    <col min="11" max="11" width="18.42578125" style="26" bestFit="1" customWidth="1"/>
    <col min="12" max="12" width="1.140625" style="26" customWidth="1"/>
    <col min="13" max="13" width="25.7109375" style="26" bestFit="1" customWidth="1"/>
    <col min="14" max="14" width="1" style="26" customWidth="1"/>
    <col min="15" max="15" width="27" style="26" bestFit="1" customWidth="1"/>
    <col min="16" max="16" width="1.140625" style="26" customWidth="1"/>
    <col min="17" max="17" width="25.7109375" style="26" bestFit="1" customWidth="1"/>
    <col min="18" max="18" width="11.85546875" style="168" customWidth="1"/>
    <col min="19" max="19" width="14.28515625" style="168" bestFit="1" customWidth="1"/>
    <col min="20" max="16384" width="9.140625" style="168"/>
  </cols>
  <sheetData>
    <row r="1" spans="1:19" ht="22.5">
      <c r="A1" s="245" t="s">
        <v>89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19" ht="22.5">
      <c r="A2" s="245" t="s">
        <v>56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</row>
    <row r="3" spans="1:19" ht="22.5">
      <c r="A3" s="245" t="str">
        <f>' سهام'!A3:W3</f>
        <v>برای ماه منتهی به 1402/06/31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19">
      <c r="A4" s="244" t="s">
        <v>62</v>
      </c>
      <c r="B4" s="244"/>
      <c r="C4" s="244"/>
      <c r="D4" s="244"/>
      <c r="E4" s="244"/>
      <c r="F4" s="244"/>
      <c r="G4" s="244"/>
      <c r="H4" s="244"/>
    </row>
    <row r="5" spans="1:19" ht="16.5" customHeight="1" thickBot="1">
      <c r="A5" s="171"/>
      <c r="B5" s="171"/>
      <c r="C5" s="243" t="s">
        <v>241</v>
      </c>
      <c r="D5" s="243"/>
      <c r="E5" s="243"/>
      <c r="F5" s="243"/>
      <c r="G5" s="243"/>
      <c r="H5" s="243"/>
      <c r="I5" s="243"/>
      <c r="K5" s="238" t="s">
        <v>242</v>
      </c>
      <c r="L5" s="238"/>
      <c r="M5" s="238"/>
      <c r="N5" s="238"/>
      <c r="O5" s="238"/>
      <c r="P5" s="238"/>
      <c r="Q5" s="238"/>
    </row>
    <row r="6" spans="1:19" ht="27" customHeight="1" thickBot="1">
      <c r="A6" s="172" t="s">
        <v>38</v>
      </c>
      <c r="B6" s="172"/>
      <c r="C6" s="124" t="s">
        <v>3</v>
      </c>
      <c r="D6" s="106"/>
      <c r="E6" s="125" t="s">
        <v>21</v>
      </c>
      <c r="F6" s="106"/>
      <c r="G6" s="124" t="s">
        <v>42</v>
      </c>
      <c r="H6" s="106"/>
      <c r="I6" s="126" t="s">
        <v>43</v>
      </c>
      <c r="K6" s="124" t="s">
        <v>3</v>
      </c>
      <c r="L6" s="106"/>
      <c r="M6" s="125" t="s">
        <v>21</v>
      </c>
      <c r="N6" s="106"/>
      <c r="O6" s="124" t="s">
        <v>42</v>
      </c>
      <c r="P6" s="106"/>
      <c r="Q6" s="126" t="s">
        <v>43</v>
      </c>
    </row>
    <row r="7" spans="1:19" ht="27" customHeight="1">
      <c r="A7" s="172" t="s">
        <v>189</v>
      </c>
      <c r="B7" s="172"/>
      <c r="C7" s="202">
        <v>0</v>
      </c>
      <c r="D7" s="106"/>
      <c r="E7" s="202">
        <v>0</v>
      </c>
      <c r="F7" s="106"/>
      <c r="G7" s="140">
        <f>I7-E7</f>
        <v>-3781102509</v>
      </c>
      <c r="H7" s="106"/>
      <c r="I7" s="141">
        <v>-3781102509</v>
      </c>
      <c r="K7" s="202">
        <v>0</v>
      </c>
      <c r="L7" s="202"/>
      <c r="M7" s="202">
        <v>0</v>
      </c>
      <c r="N7" s="202"/>
      <c r="O7" s="202">
        <f>Q7-M7</f>
        <v>0</v>
      </c>
      <c r="P7" s="202"/>
      <c r="Q7" s="202">
        <v>0</v>
      </c>
      <c r="R7" s="173"/>
      <c r="S7" s="173"/>
    </row>
    <row r="8" spans="1:19" ht="27" customHeight="1">
      <c r="A8" s="172" t="s">
        <v>103</v>
      </c>
      <c r="B8" s="172"/>
      <c r="C8" s="140">
        <v>200000</v>
      </c>
      <c r="D8" s="106"/>
      <c r="E8" s="141">
        <v>212618455920</v>
      </c>
      <c r="F8" s="106"/>
      <c r="G8" s="140">
        <f>I8-E8</f>
        <v>-211223108872</v>
      </c>
      <c r="H8" s="106"/>
      <c r="I8" s="141">
        <v>1395347048</v>
      </c>
      <c r="K8" s="140">
        <v>200000</v>
      </c>
      <c r="L8" s="106"/>
      <c r="M8" s="141">
        <v>212618455920</v>
      </c>
      <c r="N8" s="106"/>
      <c r="O8" s="140">
        <f t="shared" ref="O8:O11" si="0">Q8-M8</f>
        <v>-202941210238</v>
      </c>
      <c r="P8" s="106"/>
      <c r="Q8" s="141">
        <v>9677245682</v>
      </c>
      <c r="R8" s="173"/>
      <c r="S8" s="173"/>
    </row>
    <row r="9" spans="1:19" ht="27" customHeight="1">
      <c r="A9" s="172" t="s">
        <v>244</v>
      </c>
      <c r="B9" s="172"/>
      <c r="C9" s="140">
        <v>650000</v>
      </c>
      <c r="D9" s="106"/>
      <c r="E9" s="141">
        <v>601550449217</v>
      </c>
      <c r="F9" s="106"/>
      <c r="G9" s="140">
        <f>I9-E9</f>
        <v>-604000000000</v>
      </c>
      <c r="H9" s="106"/>
      <c r="I9" s="141">
        <v>-2449550783</v>
      </c>
      <c r="K9" s="140">
        <v>650000</v>
      </c>
      <c r="L9" s="106"/>
      <c r="M9" s="141">
        <v>601550449217</v>
      </c>
      <c r="N9" s="106"/>
      <c r="O9" s="140">
        <f t="shared" si="0"/>
        <v>-604000000000</v>
      </c>
      <c r="P9" s="106"/>
      <c r="Q9" s="141">
        <v>-2449550783</v>
      </c>
      <c r="R9" s="173"/>
      <c r="S9" s="173"/>
    </row>
    <row r="10" spans="1:19" ht="27" customHeight="1">
      <c r="A10" s="172" t="s">
        <v>119</v>
      </c>
      <c r="B10" s="172"/>
      <c r="C10" s="140">
        <v>176000</v>
      </c>
      <c r="D10" s="106"/>
      <c r="E10" s="141">
        <v>182369995448</v>
      </c>
      <c r="F10" s="106"/>
      <c r="G10" s="140">
        <f>I10-E10</f>
        <v>-181715042181</v>
      </c>
      <c r="H10" s="106"/>
      <c r="I10" s="141">
        <v>654953267</v>
      </c>
      <c r="K10" s="140">
        <v>176000</v>
      </c>
      <c r="L10" s="106"/>
      <c r="M10" s="141">
        <v>182369995448</v>
      </c>
      <c r="N10" s="106"/>
      <c r="O10" s="140">
        <f t="shared" si="0"/>
        <v>-178511996730</v>
      </c>
      <c r="P10" s="106"/>
      <c r="Q10" s="141">
        <v>3857998718</v>
      </c>
      <c r="R10" s="173"/>
      <c r="S10" s="173"/>
    </row>
    <row r="11" spans="1:19" ht="27" customHeight="1">
      <c r="A11" s="172" t="s">
        <v>245</v>
      </c>
      <c r="B11" s="172"/>
      <c r="C11" s="157">
        <v>500000</v>
      </c>
      <c r="D11" s="106"/>
      <c r="E11" s="157">
        <v>499889375000</v>
      </c>
      <c r="F11" s="106"/>
      <c r="G11" s="140">
        <f>I11-E11</f>
        <v>-500000000000</v>
      </c>
      <c r="H11" s="106"/>
      <c r="I11" s="157">
        <v>-110625000</v>
      </c>
      <c r="K11" s="158">
        <v>500000</v>
      </c>
      <c r="L11" s="106"/>
      <c r="M11" s="157">
        <v>499889375000</v>
      </c>
      <c r="N11" s="106"/>
      <c r="O11" s="140">
        <f t="shared" si="0"/>
        <v>-500000000000</v>
      </c>
      <c r="P11" s="106"/>
      <c r="Q11" s="157">
        <v>-110625000</v>
      </c>
      <c r="R11" s="173"/>
      <c r="S11" s="173"/>
    </row>
    <row r="12" spans="1:19" ht="23.25" thickBot="1">
      <c r="A12" s="171" t="s">
        <v>2</v>
      </c>
      <c r="B12" s="171"/>
      <c r="C12" s="389">
        <f>SUM(C7:C11)</f>
        <v>1526000</v>
      </c>
      <c r="D12" s="171"/>
      <c r="E12" s="174">
        <f>SUM(E7:E11)</f>
        <v>1496428275585</v>
      </c>
      <c r="F12" s="116"/>
      <c r="G12" s="174">
        <f>SUM(G7:G11)</f>
        <v>-1500719253562</v>
      </c>
      <c r="H12" s="116"/>
      <c r="I12" s="174">
        <f>SUM(I7:I11)</f>
        <v>-4290977977</v>
      </c>
      <c r="J12" s="116"/>
      <c r="K12" s="389">
        <f>SUM(K7:K11)</f>
        <v>1526000</v>
      </c>
      <c r="L12" s="116"/>
      <c r="M12" s="174">
        <f>SUM(M7:M11)</f>
        <v>1496428275585</v>
      </c>
      <c r="N12" s="116"/>
      <c r="O12" s="174">
        <f>SUM(O7:O11)</f>
        <v>-1485453206968</v>
      </c>
      <c r="P12" s="116"/>
      <c r="Q12" s="174">
        <f>SUM(Q7:Q11)</f>
        <v>10975068617</v>
      </c>
      <c r="R12" s="170"/>
    </row>
    <row r="13" spans="1:19" ht="22.5" thickTop="1">
      <c r="A13" s="171"/>
      <c r="B13" s="171"/>
    </row>
    <row r="14" spans="1:19" ht="24.75" customHeight="1">
      <c r="A14" s="240" t="s">
        <v>44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2"/>
    </row>
    <row r="15" spans="1:19">
      <c r="Q15" s="175"/>
    </row>
    <row r="16" spans="1:19" s="117" customFormat="1" ht="24">
      <c r="I16" s="96"/>
      <c r="J16" s="113"/>
      <c r="K16" s="113"/>
      <c r="L16" s="113"/>
      <c r="M16" s="113"/>
      <c r="N16" s="113"/>
      <c r="O16" s="113"/>
      <c r="P16" s="113"/>
      <c r="Q16" s="96"/>
    </row>
    <row r="17" spans="1:17">
      <c r="A17" s="17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ht="24.75">
      <c r="A18" s="176"/>
      <c r="C18" s="96"/>
      <c r="D18" s="96"/>
      <c r="E18" s="96"/>
      <c r="F18" s="96"/>
      <c r="G18" s="96"/>
      <c r="H18" s="96"/>
      <c r="I18" s="154"/>
      <c r="J18" s="114"/>
      <c r="K18" s="114"/>
      <c r="L18" s="114"/>
      <c r="M18" s="117"/>
      <c r="N18" s="117"/>
      <c r="O18" s="117"/>
      <c r="P18" s="117"/>
      <c r="Q18" s="79"/>
    </row>
    <row r="19" spans="1:17" s="117" customFormat="1" ht="24.75">
      <c r="I19" s="115"/>
      <c r="J19" s="114"/>
      <c r="K19" s="114"/>
      <c r="L19" s="114"/>
      <c r="M19" s="114"/>
      <c r="N19" s="114"/>
      <c r="O19" s="114"/>
      <c r="P19" s="114"/>
      <c r="Q19" s="115"/>
    </row>
    <row r="20" spans="1:17" s="117" customFormat="1" ht="24">
      <c r="J20" s="114"/>
      <c r="K20" s="114"/>
      <c r="L20" s="114"/>
      <c r="M20" s="114"/>
      <c r="N20" s="114"/>
      <c r="O20" s="114"/>
      <c r="P20" s="114"/>
      <c r="Q20" s="114"/>
    </row>
    <row r="21" spans="1:17" s="117" customFormat="1" ht="24">
      <c r="G21" s="177"/>
      <c r="Q21" s="103"/>
    </row>
    <row r="22" spans="1:17" s="117" customFormat="1" ht="24"/>
    <row r="23" spans="1:17" s="117" customFormat="1" ht="24"/>
    <row r="24" spans="1:17" s="117" customFormat="1" ht="24">
      <c r="I24" s="178"/>
    </row>
    <row r="25" spans="1:17" s="117" customFormat="1" ht="24">
      <c r="M25" s="178"/>
    </row>
    <row r="26" spans="1:17" s="117" customFormat="1" ht="30.75">
      <c r="E26" s="88"/>
    </row>
    <row r="27" spans="1:17" s="117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4:Q14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U20"/>
  <sheetViews>
    <sheetView rightToLeft="1" view="pageBreakPreview" zoomScale="60" zoomScaleNormal="100" workbookViewId="0">
      <selection activeCell="A5" sqref="A5:U5"/>
    </sheetView>
  </sheetViews>
  <sheetFormatPr defaultColWidth="9.140625" defaultRowHeight="15"/>
  <cols>
    <col min="1" max="1" width="49.85546875" style="57" customWidth="1"/>
    <col min="2" max="2" width="1.28515625" style="57" customWidth="1"/>
    <col min="3" max="3" width="26.5703125" style="64" customWidth="1"/>
    <col min="4" max="4" width="1" style="57" customWidth="1"/>
    <col min="5" max="5" width="28.42578125" style="65" customWidth="1"/>
    <col min="6" max="6" width="1.42578125" style="65" customWidth="1"/>
    <col min="7" max="7" width="26.5703125" style="65" customWidth="1"/>
    <col min="8" max="8" width="1" style="66" customWidth="1"/>
    <col min="9" max="9" width="28.42578125" style="66" customWidth="1"/>
    <col min="10" max="10" width="2" style="66" customWidth="1"/>
    <col min="11" max="11" width="28.5703125" style="67" customWidth="1"/>
    <col min="12" max="12" width="1.5703125" style="57" customWidth="1"/>
    <col min="13" max="13" width="28.42578125" style="64" bestFit="1" customWidth="1"/>
    <col min="14" max="14" width="0.85546875" style="64" customWidth="1"/>
    <col min="15" max="15" width="28.42578125" style="65" bestFit="1" customWidth="1"/>
    <col min="16" max="16" width="0.85546875" style="65" customWidth="1"/>
    <col min="17" max="17" width="28.42578125" style="65" bestFit="1" customWidth="1"/>
    <col min="18" max="18" width="0.85546875" style="65" customWidth="1"/>
    <col min="19" max="19" width="27.140625" style="65" customWidth="1"/>
    <col min="20" max="20" width="1.42578125" style="65" customWidth="1"/>
    <col min="21" max="21" width="29.85546875" style="67" customWidth="1"/>
    <col min="22" max="16384" width="9.140625" style="57"/>
  </cols>
  <sheetData>
    <row r="1" spans="1:21" ht="27.75">
      <c r="A1" s="253" t="s">
        <v>89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</row>
    <row r="2" spans="1:21" ht="27.75">
      <c r="A2" s="253" t="s">
        <v>56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1" ht="27.75">
      <c r="A3" s="253" t="str">
        <f>' سهام'!A3:W3</f>
        <v>برای ماه منتهی به 1402/06/31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</row>
    <row r="5" spans="1:21" s="58" customFormat="1" ht="24.75">
      <c r="A5" s="227" t="s">
        <v>28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</row>
    <row r="6" spans="1:21" s="58" customFormat="1" ht="9.75" customHeight="1">
      <c r="C6" s="54"/>
      <c r="E6" s="59"/>
      <c r="F6" s="59"/>
      <c r="G6" s="59"/>
      <c r="H6" s="60"/>
      <c r="I6" s="60"/>
      <c r="J6" s="60"/>
      <c r="K6" s="61"/>
      <c r="M6" s="54"/>
      <c r="N6" s="54"/>
      <c r="O6" s="59"/>
      <c r="P6" s="59"/>
      <c r="Q6" s="59"/>
      <c r="R6" s="59"/>
      <c r="S6" s="59"/>
      <c r="T6" s="59"/>
      <c r="U6" s="61"/>
    </row>
    <row r="7" spans="1:21" s="58" customFormat="1" ht="27" customHeight="1" thickBot="1">
      <c r="A7" s="62"/>
      <c r="B7" s="23"/>
      <c r="C7" s="246" t="s">
        <v>241</v>
      </c>
      <c r="D7" s="246"/>
      <c r="E7" s="246"/>
      <c r="F7" s="246"/>
      <c r="G7" s="246"/>
      <c r="H7" s="246"/>
      <c r="I7" s="246"/>
      <c r="J7" s="246"/>
      <c r="K7" s="246"/>
      <c r="L7" s="23"/>
      <c r="M7" s="246" t="s">
        <v>242</v>
      </c>
      <c r="N7" s="246"/>
      <c r="O7" s="246"/>
      <c r="P7" s="246"/>
      <c r="Q7" s="246"/>
      <c r="R7" s="246"/>
      <c r="S7" s="246"/>
      <c r="T7" s="246"/>
      <c r="U7" s="246"/>
    </row>
    <row r="8" spans="1:21" s="36" customFormat="1" ht="24.75" customHeight="1">
      <c r="A8" s="247" t="s">
        <v>24</v>
      </c>
      <c r="B8" s="247"/>
      <c r="C8" s="254" t="s">
        <v>12</v>
      </c>
      <c r="D8" s="249"/>
      <c r="E8" s="256" t="s">
        <v>13</v>
      </c>
      <c r="F8" s="250"/>
      <c r="G8" s="256" t="s">
        <v>14</v>
      </c>
      <c r="H8" s="262"/>
      <c r="I8" s="258" t="s">
        <v>2</v>
      </c>
      <c r="J8" s="258"/>
      <c r="K8" s="258"/>
      <c r="L8" s="247"/>
      <c r="M8" s="254" t="s">
        <v>12</v>
      </c>
      <c r="N8" s="259"/>
      <c r="O8" s="256" t="s">
        <v>13</v>
      </c>
      <c r="P8" s="250"/>
      <c r="Q8" s="256" t="s">
        <v>14</v>
      </c>
      <c r="R8" s="250"/>
      <c r="S8" s="258" t="s">
        <v>2</v>
      </c>
      <c r="T8" s="258"/>
      <c r="U8" s="258"/>
    </row>
    <row r="9" spans="1:21" s="36" customFormat="1" ht="6" customHeight="1" thickBot="1">
      <c r="A9" s="247"/>
      <c r="B9" s="247"/>
      <c r="C9" s="255"/>
      <c r="D9" s="247"/>
      <c r="E9" s="257"/>
      <c r="F9" s="251"/>
      <c r="G9" s="257"/>
      <c r="H9" s="263"/>
      <c r="I9" s="246"/>
      <c r="J9" s="246"/>
      <c r="K9" s="246"/>
      <c r="L9" s="247"/>
      <c r="M9" s="255"/>
      <c r="N9" s="260"/>
      <c r="O9" s="257"/>
      <c r="P9" s="251"/>
      <c r="Q9" s="257"/>
      <c r="R9" s="251"/>
      <c r="S9" s="246"/>
      <c r="T9" s="246"/>
      <c r="U9" s="246"/>
    </row>
    <row r="10" spans="1:21" s="36" customFormat="1" ht="42.75" customHeight="1" thickBot="1">
      <c r="A10" s="248"/>
      <c r="B10" s="247"/>
      <c r="C10" s="69" t="s">
        <v>59</v>
      </c>
      <c r="D10" s="247"/>
      <c r="E10" s="70" t="s">
        <v>60</v>
      </c>
      <c r="F10" s="252"/>
      <c r="G10" s="70" t="s">
        <v>61</v>
      </c>
      <c r="H10" s="263"/>
      <c r="I10" s="24" t="s">
        <v>6</v>
      </c>
      <c r="J10" s="24"/>
      <c r="K10" s="68" t="s">
        <v>19</v>
      </c>
      <c r="L10" s="247"/>
      <c r="M10" s="69" t="s">
        <v>59</v>
      </c>
      <c r="N10" s="261"/>
      <c r="O10" s="70" t="s">
        <v>60</v>
      </c>
      <c r="P10" s="252"/>
      <c r="Q10" s="70" t="s">
        <v>61</v>
      </c>
      <c r="R10" s="252"/>
      <c r="S10" s="25" t="s">
        <v>6</v>
      </c>
      <c r="T10" s="25"/>
      <c r="U10" s="68" t="s">
        <v>19</v>
      </c>
    </row>
    <row r="11" spans="1:21" s="39" customFormat="1" ht="30.75">
      <c r="A11" s="84" t="s">
        <v>92</v>
      </c>
      <c r="C11" s="49">
        <v>0</v>
      </c>
      <c r="D11" s="49"/>
      <c r="E11" s="49">
        <v>0</v>
      </c>
      <c r="F11" s="49"/>
      <c r="G11" s="49">
        <v>0</v>
      </c>
      <c r="H11" s="49"/>
      <c r="I11" s="43">
        <f>C11+E11+G11</f>
        <v>0</v>
      </c>
      <c r="K11" s="78">
        <v>0</v>
      </c>
      <c r="M11" s="49">
        <v>0</v>
      </c>
      <c r="N11" s="43"/>
      <c r="O11" s="43">
        <v>0</v>
      </c>
      <c r="P11" s="43"/>
      <c r="Q11" s="43">
        <v>0</v>
      </c>
      <c r="R11" s="43"/>
      <c r="S11" s="43">
        <f>M11+O11+Q11</f>
        <v>0</v>
      </c>
      <c r="T11" s="6"/>
      <c r="U11" s="78"/>
    </row>
    <row r="12" spans="1:21" s="63" customFormat="1" ht="25.5" customHeight="1" thickBot="1">
      <c r="C12" s="55">
        <f>SUM(C11:C11)</f>
        <v>0</v>
      </c>
      <c r="D12" s="79">
        <v>0</v>
      </c>
      <c r="E12" s="55">
        <f>SUM(E11:E11)</f>
        <v>0</v>
      </c>
      <c r="F12" s="79">
        <v>0</v>
      </c>
      <c r="G12" s="55">
        <f>SUM(G11:G11)</f>
        <v>0</v>
      </c>
      <c r="H12" s="79">
        <v>0</v>
      </c>
      <c r="I12" s="55">
        <f>SUM(I11:I11)</f>
        <v>0</v>
      </c>
      <c r="J12" s="56">
        <v>0</v>
      </c>
      <c r="K12" s="77">
        <f>SUM(K11:K11)</f>
        <v>0</v>
      </c>
      <c r="M12" s="55">
        <f>SUM(M11:M11)</f>
        <v>0</v>
      </c>
      <c r="N12" s="43"/>
      <c r="O12" s="55">
        <f>SUM(O11:O11)</f>
        <v>0</v>
      </c>
      <c r="P12" s="43"/>
      <c r="Q12" s="55">
        <f>SUM(Q11:Q11)</f>
        <v>0</v>
      </c>
      <c r="R12" s="43"/>
      <c r="S12" s="55">
        <f>SUM(S11:S11)</f>
        <v>0</v>
      </c>
      <c r="T12" s="56"/>
      <c r="U12" s="77">
        <f>SUM(U11:U11)</f>
        <v>0</v>
      </c>
    </row>
    <row r="13" spans="1:21" ht="25.5" customHeight="1" thickTop="1">
      <c r="D13" s="43">
        <v>0</v>
      </c>
      <c r="F13" s="43">
        <v>0</v>
      </c>
      <c r="H13" s="43">
        <v>0</v>
      </c>
      <c r="J13" s="6">
        <v>0</v>
      </c>
      <c r="L13" s="39"/>
      <c r="N13" s="43"/>
      <c r="O13" s="66"/>
      <c r="P13" s="43"/>
      <c r="Q13" s="66"/>
      <c r="R13" s="43"/>
      <c r="S13" s="66"/>
      <c r="T13" s="66"/>
    </row>
    <row r="14" spans="1:21" s="73" customFormat="1" ht="33"/>
    <row r="15" spans="1:21" s="73" customFormat="1" ht="33"/>
    <row r="16" spans="1:21" s="73" customFormat="1" ht="33"/>
    <row r="20" spans="4:8" ht="33">
      <c r="D20" s="74"/>
      <c r="E20" s="75"/>
      <c r="F20" s="75"/>
      <c r="G20" s="75"/>
      <c r="H20" s="7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T26"/>
  <sheetViews>
    <sheetView rightToLeft="1" view="pageBreakPreview" zoomScale="90" zoomScaleNormal="100" zoomScaleSheetLayoutView="90" workbookViewId="0">
      <selection activeCell="I17" sqref="I17"/>
    </sheetView>
  </sheetViews>
  <sheetFormatPr defaultColWidth="9.140625" defaultRowHeight="21.75"/>
  <cols>
    <col min="1" max="1" width="34.42578125" style="179" bestFit="1" customWidth="1"/>
    <col min="2" max="2" width="0.42578125" style="179" customWidth="1"/>
    <col min="3" max="3" width="21.140625" style="179" bestFit="1" customWidth="1"/>
    <col min="4" max="4" width="0.7109375" style="179" customWidth="1"/>
    <col min="5" max="5" width="20" style="179" bestFit="1" customWidth="1"/>
    <col min="6" max="6" width="0.5703125" style="179" customWidth="1"/>
    <col min="7" max="7" width="18.85546875" style="179" bestFit="1" customWidth="1"/>
    <col min="8" max="8" width="0.5703125" style="179" customWidth="1"/>
    <col min="9" max="9" width="22.85546875" style="179" bestFit="1" customWidth="1"/>
    <col min="10" max="10" width="0.42578125" style="179" customWidth="1"/>
    <col min="11" max="11" width="22.85546875" style="179" bestFit="1" customWidth="1"/>
    <col min="12" max="12" width="0.5703125" style="179" customWidth="1"/>
    <col min="13" max="13" width="21.140625" style="179" bestFit="1" customWidth="1"/>
    <col min="14" max="14" width="0.85546875" style="179" customWidth="1"/>
    <col min="15" max="15" width="21.140625" style="179" bestFit="1" customWidth="1"/>
    <col min="16" max="16" width="0.5703125" style="179" customWidth="1"/>
    <col min="17" max="17" width="22.85546875" style="179" bestFit="1" customWidth="1"/>
    <col min="18" max="18" width="9.140625" style="179"/>
    <col min="19" max="19" width="12.7109375" style="179" bestFit="1" customWidth="1"/>
    <col min="20" max="16384" width="9.140625" style="179"/>
  </cols>
  <sheetData>
    <row r="1" spans="1:17" ht="21" customHeight="1">
      <c r="A1" s="245" t="s">
        <v>89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17" ht="18" customHeight="1">
      <c r="A2" s="245" t="s">
        <v>56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</row>
    <row r="3" spans="1:17" ht="19.5" customHeight="1">
      <c r="A3" s="245" t="str">
        <f>' سهام'!A3:W3</f>
        <v>برای ماه منتهی به 1402/06/31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17">
      <c r="A4" s="244" t="s">
        <v>29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</row>
    <row r="5" spans="1:17" ht="4.5" customHeight="1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</row>
    <row r="6" spans="1:17" ht="22.5" customHeight="1" thickBot="1">
      <c r="A6" s="183"/>
      <c r="B6" s="184"/>
      <c r="C6" s="267" t="s">
        <v>241</v>
      </c>
      <c r="D6" s="267"/>
      <c r="E6" s="267"/>
      <c r="F6" s="267"/>
      <c r="G6" s="267"/>
      <c r="H6" s="267"/>
      <c r="I6" s="267"/>
      <c r="J6" s="206"/>
      <c r="K6" s="267" t="s">
        <v>242</v>
      </c>
      <c r="L6" s="267"/>
      <c r="M6" s="267"/>
      <c r="N6" s="267"/>
      <c r="O6" s="267"/>
      <c r="P6" s="267"/>
      <c r="Q6" s="267"/>
    </row>
    <row r="7" spans="1:17" ht="15.75" customHeight="1">
      <c r="A7" s="268"/>
      <c r="B7" s="269"/>
      <c r="C7" s="266" t="s">
        <v>15</v>
      </c>
      <c r="D7" s="266"/>
      <c r="E7" s="266" t="s">
        <v>13</v>
      </c>
      <c r="F7" s="268"/>
      <c r="G7" s="266" t="s">
        <v>14</v>
      </c>
      <c r="H7" s="268"/>
      <c r="I7" s="266" t="s">
        <v>2</v>
      </c>
      <c r="J7" s="185"/>
      <c r="K7" s="266" t="s">
        <v>15</v>
      </c>
      <c r="L7" s="266"/>
      <c r="M7" s="266" t="s">
        <v>13</v>
      </c>
      <c r="N7" s="268"/>
      <c r="O7" s="266" t="s">
        <v>14</v>
      </c>
      <c r="P7" s="268"/>
      <c r="Q7" s="266" t="s">
        <v>2</v>
      </c>
    </row>
    <row r="8" spans="1:17" ht="12" customHeight="1">
      <c r="A8" s="269"/>
      <c r="B8" s="269"/>
      <c r="C8" s="390"/>
      <c r="D8" s="390"/>
      <c r="E8" s="390"/>
      <c r="F8" s="269"/>
      <c r="G8" s="390"/>
      <c r="H8" s="269"/>
      <c r="I8" s="390"/>
      <c r="J8" s="185"/>
      <c r="K8" s="390"/>
      <c r="L8" s="390"/>
      <c r="M8" s="390"/>
      <c r="N8" s="269"/>
      <c r="O8" s="390"/>
      <c r="P8" s="269"/>
      <c r="Q8" s="390"/>
    </row>
    <row r="9" spans="1:17" ht="14.25" customHeight="1" thickBot="1">
      <c r="A9" s="269"/>
      <c r="B9" s="269"/>
      <c r="C9" s="391" t="s">
        <v>65</v>
      </c>
      <c r="D9" s="390"/>
      <c r="E9" s="391" t="s">
        <v>60</v>
      </c>
      <c r="F9" s="269"/>
      <c r="G9" s="391" t="s">
        <v>61</v>
      </c>
      <c r="H9" s="269"/>
      <c r="I9" s="267"/>
      <c r="J9" s="186"/>
      <c r="K9" s="391" t="s">
        <v>65</v>
      </c>
      <c r="L9" s="390"/>
      <c r="M9" s="391" t="s">
        <v>60</v>
      </c>
      <c r="N9" s="269"/>
      <c r="O9" s="391" t="s">
        <v>61</v>
      </c>
      <c r="P9" s="269"/>
      <c r="Q9" s="267"/>
    </row>
    <row r="10" spans="1:17" ht="27.75" customHeight="1">
      <c r="A10" s="206" t="s">
        <v>189</v>
      </c>
      <c r="B10" s="206"/>
      <c r="C10" s="96">
        <f>VLOOKUP(A10,'سود اوراق بهادار و سپرده بانکی'!$A$7:$Q$91,11,0)</f>
        <v>0</v>
      </c>
      <c r="D10" s="185"/>
      <c r="E10" s="96">
        <f>VLOOKUP(A10,'درآمد ناشی از تغییر قیمت اوراق '!$A$7:$Q$11,9,0)</f>
        <v>-3781102509</v>
      </c>
      <c r="F10" s="206"/>
      <c r="G10" s="96">
        <f>VLOOKUP(A10,'درآمد ناشی ازفروش'!$A$7:$Q$12,8,0)</f>
        <v>0</v>
      </c>
      <c r="H10" s="206"/>
      <c r="I10" s="96">
        <f>C10+E10+G10</f>
        <v>-3781102509</v>
      </c>
      <c r="J10" s="186"/>
      <c r="K10" s="96">
        <f>VLOOKUP(A10,'سود اوراق بهادار و سپرده بانکی'!$A$7:$Q$91,17,0)</f>
        <v>26850405289</v>
      </c>
      <c r="L10" s="185"/>
      <c r="M10" s="96">
        <f>VLOOKUP(A10,'درآمد ناشی از تغییر قیمت اوراق '!$A$7:$Q$11,17,0)</f>
        <v>0</v>
      </c>
      <c r="N10" s="206"/>
      <c r="O10" s="96">
        <f>VLOOKUP(A10,'درآمد ناشی ازفروش'!$A$7:$Q$12,17,0)</f>
        <v>10950050000</v>
      </c>
      <c r="P10" s="206"/>
      <c r="Q10" s="96">
        <f>K10+M10+O10</f>
        <v>37800455289</v>
      </c>
    </row>
    <row r="11" spans="1:17" ht="27.75" customHeight="1">
      <c r="A11" s="358" t="s">
        <v>150</v>
      </c>
      <c r="B11" s="206"/>
      <c r="C11" s="96">
        <v>0</v>
      </c>
      <c r="D11" s="185"/>
      <c r="E11" s="96">
        <v>0</v>
      </c>
      <c r="F11" s="206"/>
      <c r="G11" s="96">
        <f>VLOOKUP(A11,'درآمد ناشی ازفروش'!$A$7:$Q$12,8,0)</f>
        <v>0</v>
      </c>
      <c r="H11" s="206"/>
      <c r="I11" s="96">
        <f t="shared" ref="I11:I18" si="0">C11+E11+G11</f>
        <v>0</v>
      </c>
      <c r="J11" s="186"/>
      <c r="K11" s="96">
        <v>0</v>
      </c>
      <c r="L11" s="185"/>
      <c r="M11" s="96">
        <v>0</v>
      </c>
      <c r="N11" s="206"/>
      <c r="O11" s="96">
        <f>VLOOKUP(A11,'درآمد ناشی ازفروش'!$A$7:$Q$12,17,0)</f>
        <v>1039600129</v>
      </c>
      <c r="P11" s="206"/>
      <c r="Q11" s="96">
        <f t="shared" ref="Q11:Q18" si="1">K11+M11+O11</f>
        <v>1039600129</v>
      </c>
    </row>
    <row r="12" spans="1:17" ht="21" customHeight="1">
      <c r="A12" s="358" t="s">
        <v>103</v>
      </c>
      <c r="B12" s="206"/>
      <c r="C12" s="96">
        <f>VLOOKUP(A12,'سود اوراق بهادار و سپرده بانکی'!$A$7:$Q$91,11,0)</f>
        <v>0</v>
      </c>
      <c r="D12" s="185"/>
      <c r="E12" s="96">
        <f>VLOOKUP(A12,'درآمد ناشی از تغییر قیمت اوراق '!$A$7:$Q$11,9,0)</f>
        <v>1395347048</v>
      </c>
      <c r="F12" s="206"/>
      <c r="G12" s="96">
        <v>0</v>
      </c>
      <c r="H12" s="206"/>
      <c r="I12" s="96">
        <f t="shared" si="0"/>
        <v>1395347048</v>
      </c>
      <c r="J12" s="186"/>
      <c r="K12" s="96">
        <f>VLOOKUP(A12,'سود اوراق بهادار و سپرده بانکی'!$A$7:$Q$91,17,0)</f>
        <v>27876399697</v>
      </c>
      <c r="L12" s="185"/>
      <c r="M12" s="96">
        <f>VLOOKUP(A12,'درآمد ناشی از تغییر قیمت اوراق '!$A$7:$Q$11,17,0)</f>
        <v>9677245682</v>
      </c>
      <c r="N12" s="206"/>
      <c r="O12" s="96">
        <v>0</v>
      </c>
      <c r="P12" s="206"/>
      <c r="Q12" s="96">
        <f t="shared" si="1"/>
        <v>37553645379</v>
      </c>
    </row>
    <row r="13" spans="1:17" ht="26.25" customHeight="1">
      <c r="A13" s="358" t="s">
        <v>244</v>
      </c>
      <c r="B13" s="206"/>
      <c r="C13" s="96">
        <f>VLOOKUP(A13,'سود اوراق بهادار و سپرده بانکی'!$A$7:$Q$91,11,0)</f>
        <v>0</v>
      </c>
      <c r="D13" s="185"/>
      <c r="E13" s="96">
        <f>VLOOKUP(A13,'درآمد ناشی از تغییر قیمت اوراق '!$A$7:$Q$11,9,0)</f>
        <v>-2449550783</v>
      </c>
      <c r="F13" s="206"/>
      <c r="G13" s="96">
        <v>0</v>
      </c>
      <c r="H13" s="206"/>
      <c r="I13" s="96">
        <f t="shared" si="0"/>
        <v>-2449550783</v>
      </c>
      <c r="J13" s="186"/>
      <c r="K13" s="96">
        <f>VLOOKUP(A13,'سود اوراق بهادار و سپرده بانکی'!$A$7:$Q$91,17,0)</f>
        <v>5915729941</v>
      </c>
      <c r="L13" s="185"/>
      <c r="M13" s="96">
        <f>VLOOKUP(A13,'درآمد ناشی از تغییر قیمت اوراق '!$A$7:$Q$11,17,0)</f>
        <v>-2449550783</v>
      </c>
      <c r="N13" s="206"/>
      <c r="O13" s="96">
        <v>0</v>
      </c>
      <c r="P13" s="206"/>
      <c r="Q13" s="96">
        <f t="shared" si="1"/>
        <v>3466179158</v>
      </c>
    </row>
    <row r="14" spans="1:17" ht="26.25" customHeight="1">
      <c r="A14" s="358" t="s">
        <v>151</v>
      </c>
      <c r="B14" s="206"/>
      <c r="C14" s="96">
        <f>VLOOKUP(A14,'سود اوراق بهادار و سپرده بانکی'!$A$7:$Q$91,11,0)</f>
        <v>0</v>
      </c>
      <c r="D14" s="185"/>
      <c r="E14" s="96">
        <v>0</v>
      </c>
      <c r="F14" s="206"/>
      <c r="G14" s="96">
        <f>VLOOKUP(A14,'درآمد ناشی ازفروش'!$A$7:$Q$12,8,0)</f>
        <v>0</v>
      </c>
      <c r="H14" s="206"/>
      <c r="I14" s="96">
        <f t="shared" si="0"/>
        <v>0</v>
      </c>
      <c r="J14" s="186"/>
      <c r="K14" s="96">
        <f>VLOOKUP(A14,'سود اوراق بهادار و سپرده بانکی'!$A$7:$Q$91,17,0)</f>
        <v>404041938</v>
      </c>
      <c r="L14" s="185"/>
      <c r="M14" s="96">
        <v>0</v>
      </c>
      <c r="N14" s="206"/>
      <c r="O14" s="96">
        <f>VLOOKUP(A14,'درآمد ناشی ازفروش'!$A$7:$Q$12,17,0)</f>
        <v>49500000</v>
      </c>
      <c r="P14" s="206"/>
      <c r="Q14" s="96">
        <f t="shared" si="1"/>
        <v>453541938</v>
      </c>
    </row>
    <row r="15" spans="1:17" ht="26.25" customHeight="1">
      <c r="A15" s="358" t="s">
        <v>119</v>
      </c>
      <c r="B15" s="206"/>
      <c r="C15" s="96">
        <f>VLOOKUP(A15,'سود اوراق بهادار و سپرده بانکی'!$A$7:$Q$91,11,0)</f>
        <v>0</v>
      </c>
      <c r="D15" s="185"/>
      <c r="E15" s="96">
        <f>VLOOKUP(A15,'درآمد ناشی از تغییر قیمت اوراق '!$A$7:$Q$11,9,0)</f>
        <v>654953267</v>
      </c>
      <c r="F15" s="206"/>
      <c r="G15" s="96">
        <f>VLOOKUP(A15,'درآمد ناشی ازفروش'!$A$7:$Q$12,8,0)</f>
        <v>0</v>
      </c>
      <c r="H15" s="206"/>
      <c r="I15" s="96">
        <f t="shared" si="0"/>
        <v>654953267</v>
      </c>
      <c r="J15" s="186"/>
      <c r="K15" s="96">
        <f>VLOOKUP(A15,'سود اوراق بهادار و سپرده بانکی'!$A$7:$Q$91,17,0)</f>
        <v>18758010396</v>
      </c>
      <c r="L15" s="185"/>
      <c r="M15" s="96">
        <f>VLOOKUP(A15,'درآمد ناشی از تغییر قیمت اوراق '!$A$7:$Q$11,17,0)</f>
        <v>3857998718</v>
      </c>
      <c r="N15" s="206"/>
      <c r="O15" s="96">
        <f>VLOOKUP(A15,'درآمد ناشی ازفروش'!$A$7:$Q$12,17,0)</f>
        <v>551211561</v>
      </c>
      <c r="P15" s="206"/>
      <c r="Q15" s="96">
        <f t="shared" si="1"/>
        <v>23167220675</v>
      </c>
    </row>
    <row r="16" spans="1:17" ht="27.75" customHeight="1">
      <c r="A16" s="358" t="s">
        <v>245</v>
      </c>
      <c r="B16" s="206"/>
      <c r="C16" s="96">
        <f>VLOOKUP(A16,'سود اوراق بهادار و سپرده بانکی'!$A$7:$Q$91,11,0)</f>
        <v>0</v>
      </c>
      <c r="D16" s="185"/>
      <c r="E16" s="96">
        <f>VLOOKUP(A16,'درآمد ناشی از تغییر قیمت اوراق '!$A$7:$Q$11,9,0)</f>
        <v>-110625000</v>
      </c>
      <c r="F16" s="206"/>
      <c r="G16" s="96">
        <v>0</v>
      </c>
      <c r="H16" s="206"/>
      <c r="I16" s="96">
        <f t="shared" si="0"/>
        <v>-110625000</v>
      </c>
      <c r="J16" s="186"/>
      <c r="K16" s="96">
        <f>VLOOKUP(A16,'سود اوراق بهادار و سپرده بانکی'!$A$7:$Q$91,17,0)</f>
        <v>1031226027</v>
      </c>
      <c r="L16" s="185"/>
      <c r="M16" s="96">
        <f>VLOOKUP(A16,'درآمد ناشی از تغییر قیمت اوراق '!$A$7:$Q$11,17,0)</f>
        <v>-110625000</v>
      </c>
      <c r="N16" s="206"/>
      <c r="O16" s="96">
        <v>0</v>
      </c>
      <c r="P16" s="206"/>
      <c r="Q16" s="96">
        <f t="shared" si="1"/>
        <v>920601027</v>
      </c>
    </row>
    <row r="17" spans="1:20" ht="27.75" customHeight="1">
      <c r="A17" s="358" t="s">
        <v>118</v>
      </c>
      <c r="B17" s="168"/>
      <c r="C17" s="96">
        <f>VLOOKUP(A17,'سود اوراق بهادار و سپرده بانکی'!$A$7:$Q$91,11,0)</f>
        <v>0</v>
      </c>
      <c r="D17" s="96"/>
      <c r="E17" s="96">
        <v>0</v>
      </c>
      <c r="F17" s="96"/>
      <c r="G17" s="96">
        <f>VLOOKUP(A17,'درآمد ناشی ازفروش'!$A$7:$Q$12,8,0)</f>
        <v>0</v>
      </c>
      <c r="H17" s="96"/>
      <c r="I17" s="96">
        <f t="shared" si="0"/>
        <v>0</v>
      </c>
      <c r="J17" s="96"/>
      <c r="K17" s="96">
        <f>VLOOKUP(A17,'سود اوراق بهادار و سپرده بانکی'!$A$7:$Q$91,17,0)</f>
        <v>32445693272</v>
      </c>
      <c r="L17" s="96"/>
      <c r="M17" s="96">
        <v>0</v>
      </c>
      <c r="N17" s="96"/>
      <c r="O17" s="96">
        <f>VLOOKUP(A17,'درآمد ناشی ازفروش'!$A$7:$Q$12,17,0)</f>
        <v>14798434341</v>
      </c>
      <c r="P17" s="96"/>
      <c r="Q17" s="96">
        <f>K17+M17+O17</f>
        <v>47244127613</v>
      </c>
      <c r="T17" s="372"/>
    </row>
    <row r="18" spans="1:20" ht="21" customHeight="1">
      <c r="A18" s="358" t="s">
        <v>111</v>
      </c>
      <c r="B18" s="168"/>
      <c r="C18" s="96">
        <f>VLOOKUP(A18,'سود اوراق بهادار و سپرده بانکی'!$A$7:$Q$91,11,0)</f>
        <v>0</v>
      </c>
      <c r="D18" s="96"/>
      <c r="E18" s="96">
        <v>0</v>
      </c>
      <c r="F18" s="96"/>
      <c r="G18" s="96">
        <f>VLOOKUP(A18,'درآمد ناشی ازفروش'!$A$7:$Q$12,8,0)</f>
        <v>0</v>
      </c>
      <c r="H18" s="96"/>
      <c r="I18" s="96">
        <f t="shared" si="0"/>
        <v>0</v>
      </c>
      <c r="J18" s="96"/>
      <c r="K18" s="96">
        <f>VLOOKUP(A18,'سود اوراق بهادار و سپرده بانکی'!$A$7:$Q$91,17,0)</f>
        <v>59103289518</v>
      </c>
      <c r="L18" s="96"/>
      <c r="M18" s="96">
        <v>0</v>
      </c>
      <c r="N18" s="96"/>
      <c r="O18" s="96">
        <f>VLOOKUP(A18,'درآمد ناشی ازفروش'!$A$7:$Q$12,17,0)</f>
        <v>14606615871</v>
      </c>
      <c r="P18" s="96"/>
      <c r="Q18" s="96">
        <f t="shared" si="1"/>
        <v>73709905389</v>
      </c>
      <c r="T18" s="372"/>
    </row>
    <row r="19" spans="1:20" ht="21" customHeight="1" thickBot="1">
      <c r="A19" s="392" t="s">
        <v>2</v>
      </c>
      <c r="B19" s="393"/>
      <c r="C19" s="118">
        <f>SUM(C10:C18)</f>
        <v>0</v>
      </c>
      <c r="D19" s="119">
        <f t="shared" ref="D19:P19" si="2">SUM(D17:D17)</f>
        <v>0</v>
      </c>
      <c r="E19" s="118">
        <f>SUM(E10:E18)</f>
        <v>-4290977977</v>
      </c>
      <c r="F19" s="119">
        <f t="shared" si="2"/>
        <v>0</v>
      </c>
      <c r="G19" s="118">
        <f>SUM(G10:G18)</f>
        <v>0</v>
      </c>
      <c r="H19" s="119">
        <f t="shared" si="2"/>
        <v>0</v>
      </c>
      <c r="I19" s="118">
        <f>SUM(I10:I18)</f>
        <v>-4290977977</v>
      </c>
      <c r="J19" s="119">
        <f t="shared" si="2"/>
        <v>0</v>
      </c>
      <c r="K19" s="118">
        <f>SUM(K10:K18)</f>
        <v>172384796078</v>
      </c>
      <c r="L19" s="119">
        <f t="shared" si="2"/>
        <v>0</v>
      </c>
      <c r="M19" s="118">
        <f>SUM(M10:M18)</f>
        <v>10975068617</v>
      </c>
      <c r="N19" s="119">
        <f t="shared" si="2"/>
        <v>0</v>
      </c>
      <c r="O19" s="118">
        <f>SUM(O10:O18)</f>
        <v>41995411902</v>
      </c>
      <c r="P19" s="119">
        <f t="shared" si="2"/>
        <v>0</v>
      </c>
      <c r="Q19" s="118">
        <f>SUM(Q10:Q18)</f>
        <v>225355276597</v>
      </c>
    </row>
    <row r="20" spans="1:20" ht="22.5" thickTop="1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</row>
    <row r="21" spans="1:20" s="96" customFormat="1"/>
    <row r="22" spans="1:20" s="96" customFormat="1"/>
    <row r="23" spans="1:20" s="96" customFormat="1" ht="27">
      <c r="B23" s="137"/>
    </row>
    <row r="24" spans="1:20">
      <c r="C24" s="372"/>
      <c r="E24" s="372"/>
      <c r="I24" s="372"/>
      <c r="O24" s="372"/>
    </row>
    <row r="25" spans="1:20">
      <c r="O25" s="394"/>
      <c r="Q25" s="394"/>
    </row>
    <row r="26" spans="1:20">
      <c r="O26" s="372"/>
      <c r="Q26" s="372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N88"/>
  <sheetViews>
    <sheetView rightToLeft="1" view="pageBreakPreview" zoomScaleNormal="100" zoomScaleSheetLayoutView="100" workbookViewId="0">
      <selection sqref="A1:XFD1048576"/>
    </sheetView>
  </sheetViews>
  <sheetFormatPr defaultColWidth="9.140625" defaultRowHeight="21.75"/>
  <cols>
    <col min="1" max="1" width="43" style="179" customWidth="1"/>
    <col min="2" max="2" width="0.7109375" style="179" customWidth="1"/>
    <col min="3" max="3" width="22.85546875" style="179" customWidth="1"/>
    <col min="4" max="4" width="0.7109375" style="179" customWidth="1"/>
    <col min="5" max="5" width="18.42578125" style="97" customWidth="1"/>
    <col min="6" max="6" width="1.42578125" style="97" customWidth="1"/>
    <col min="7" max="7" width="21.7109375" style="97" customWidth="1"/>
    <col min="8" max="8" width="1.42578125" style="97" customWidth="1"/>
    <col min="9" max="9" width="19.5703125" style="97" customWidth="1"/>
    <col min="10" max="10" width="1.28515625" style="179" customWidth="1"/>
    <col min="11" max="11" width="22" style="179" customWidth="1"/>
    <col min="12" max="12" width="0.7109375" style="179" customWidth="1"/>
    <col min="13" max="13" width="19.42578125" style="179" bestFit="1" customWidth="1"/>
    <col min="14" max="14" width="9.140625" style="179"/>
    <col min="15" max="15" width="9.140625" style="179" customWidth="1"/>
    <col min="16" max="16384" width="9.140625" style="179"/>
  </cols>
  <sheetData>
    <row r="1" spans="1:14" s="179" customFormat="1" ht="22.5">
      <c r="A1" s="245" t="s">
        <v>89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4" s="179" customFormat="1" ht="22.5">
      <c r="A2" s="245" t="s">
        <v>56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4" s="179" customFormat="1" ht="22.5">
      <c r="A3" s="245" t="str">
        <f>' سهام'!A3:W3</f>
        <v>برای ماه منتهی به 1402/06/31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4" s="179" customFormat="1">
      <c r="A4" s="244" t="s">
        <v>30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4" s="179" customFormat="1" ht="22.5" thickBot="1">
      <c r="A5" s="336"/>
      <c r="B5" s="336"/>
      <c r="C5" s="336"/>
      <c r="D5" s="171"/>
      <c r="E5" s="89"/>
      <c r="F5" s="89"/>
      <c r="G5" s="89"/>
      <c r="H5" s="89"/>
      <c r="I5" s="89"/>
      <c r="J5" s="336"/>
      <c r="K5" s="336"/>
      <c r="L5" s="336"/>
    </row>
    <row r="6" spans="1:14" s="179" customFormat="1" ht="37.5" customHeight="1" thickBot="1">
      <c r="A6" s="395" t="s">
        <v>20</v>
      </c>
      <c r="B6" s="395"/>
      <c r="C6" s="395"/>
      <c r="D6" s="206"/>
      <c r="E6" s="264" t="s">
        <v>241</v>
      </c>
      <c r="F6" s="264"/>
      <c r="G6" s="264"/>
      <c r="H6" s="264"/>
      <c r="I6" s="395" t="s">
        <v>242</v>
      </c>
      <c r="J6" s="395"/>
      <c r="K6" s="395"/>
      <c r="L6" s="395"/>
    </row>
    <row r="7" spans="1:14" s="179" customFormat="1" ht="37.5">
      <c r="A7" s="396" t="s">
        <v>16</v>
      </c>
      <c r="B7" s="206"/>
      <c r="C7" s="396" t="s">
        <v>9</v>
      </c>
      <c r="D7" s="185"/>
      <c r="E7" s="120" t="s">
        <v>17</v>
      </c>
      <c r="F7" s="121"/>
      <c r="G7" s="120" t="s">
        <v>18</v>
      </c>
      <c r="H7" s="122"/>
      <c r="I7" s="120" t="s">
        <v>17</v>
      </c>
      <c r="J7" s="206"/>
      <c r="K7" s="396" t="s">
        <v>18</v>
      </c>
      <c r="L7" s="206"/>
    </row>
    <row r="8" spans="1:14" s="179" customFormat="1">
      <c r="A8" s="397" t="s">
        <v>226</v>
      </c>
      <c r="B8" s="206"/>
      <c r="C8" s="360" t="s">
        <v>274</v>
      </c>
      <c r="D8" s="185"/>
      <c r="E8" s="92">
        <f>VLOOKUP(A8,'سود اوراق بهادار و سپرده بانکی'!$A$7:$Q$91,11,0)</f>
        <v>3708623</v>
      </c>
      <c r="F8" s="121"/>
      <c r="G8" s="398">
        <f>E8/$E$84</f>
        <v>1.334027791939375E-4</v>
      </c>
      <c r="H8" s="143"/>
      <c r="I8" s="92">
        <f>VLOOKUP(A8,'سود اوراق بهادار و سپرده بانکی'!$A$7:$Q$91,17,0)</f>
        <v>31510696</v>
      </c>
      <c r="J8" s="206"/>
      <c r="K8" s="398">
        <f>I8/$I$84</f>
        <v>1.407181758348126E-4</v>
      </c>
      <c r="L8" s="206"/>
      <c r="M8" s="97"/>
      <c r="N8" s="372"/>
    </row>
    <row r="9" spans="1:14" s="179" customFormat="1">
      <c r="A9" s="397" t="s">
        <v>273</v>
      </c>
      <c r="B9" s="206"/>
      <c r="C9" s="360" t="s">
        <v>275</v>
      </c>
      <c r="D9" s="185"/>
      <c r="E9" s="92">
        <f>VLOOKUP(A9,'سود اوراق بهادار و سپرده بانکی'!$A$7:$Q$91,11,0)</f>
        <v>667333634.96153843</v>
      </c>
      <c r="F9" s="121"/>
      <c r="G9" s="398">
        <f t="shared" ref="G9:G72" si="0">E9/$E$84</f>
        <v>2.4004640415987769E-2</v>
      </c>
      <c r="H9" s="143"/>
      <c r="I9" s="92">
        <f>VLOOKUP(A9,'سود اوراق بهادار و سپرده بانکی'!$A$7:$Q$91,17,0)</f>
        <v>667333634.96153843</v>
      </c>
      <c r="J9" s="206"/>
      <c r="K9" s="398">
        <f t="shared" ref="K9:K72" si="1">I9/$I$84</f>
        <v>2.9801300417167048E-3</v>
      </c>
      <c r="L9" s="206"/>
      <c r="M9" s="97"/>
      <c r="N9" s="372"/>
    </row>
    <row r="10" spans="1:14" s="179" customFormat="1">
      <c r="A10" s="397" t="s">
        <v>256</v>
      </c>
      <c r="B10" s="206"/>
      <c r="C10" s="360" t="s">
        <v>174</v>
      </c>
      <c r="D10" s="185"/>
      <c r="E10" s="92">
        <f>VLOOKUP(A10,'سود اوراق بهادار و سپرده بانکی'!$A$7:$Q$91,11,0)</f>
        <v>0</v>
      </c>
      <c r="F10" s="121"/>
      <c r="G10" s="398">
        <f t="shared" si="0"/>
        <v>0</v>
      </c>
      <c r="H10" s="143"/>
      <c r="I10" s="92">
        <f>VLOOKUP(A10,'سود اوراق بهادار و سپرده بانکی'!$A$7:$Q$91,17,0)</f>
        <v>9970685138.9423065</v>
      </c>
      <c r="J10" s="206"/>
      <c r="K10" s="398">
        <f t="shared" si="1"/>
        <v>4.4526360972008884E-2</v>
      </c>
      <c r="L10" s="206"/>
      <c r="M10" s="97"/>
      <c r="N10" s="372"/>
    </row>
    <row r="11" spans="1:14" s="179" customFormat="1">
      <c r="A11" s="397" t="s">
        <v>259</v>
      </c>
      <c r="B11" s="206"/>
      <c r="C11" s="360" t="s">
        <v>179</v>
      </c>
      <c r="D11" s="185"/>
      <c r="E11" s="92">
        <f>VLOOKUP(A11,'سود اوراق بهادار و سپرده بانکی'!$A$7:$Q$91,11,0)</f>
        <v>0</v>
      </c>
      <c r="F11" s="121"/>
      <c r="G11" s="398">
        <f t="shared" si="0"/>
        <v>0</v>
      </c>
      <c r="H11" s="143"/>
      <c r="I11" s="92">
        <f>VLOOKUP(A11,'سود اوراق بهادار و سپرده بانکی'!$A$7:$Q$91,17,0)</f>
        <v>739726027.78846145</v>
      </c>
      <c r="J11" s="206"/>
      <c r="K11" s="398">
        <f t="shared" si="1"/>
        <v>3.3034147277459119E-3</v>
      </c>
      <c r="L11" s="206"/>
      <c r="M11" s="97"/>
      <c r="N11" s="372"/>
    </row>
    <row r="12" spans="1:14" s="179" customFormat="1">
      <c r="A12" s="397" t="s">
        <v>265</v>
      </c>
      <c r="B12" s="206"/>
      <c r="C12" s="360" t="s">
        <v>180</v>
      </c>
      <c r="D12" s="185"/>
      <c r="E12" s="92">
        <f>VLOOKUP(A12,'سود اوراق بهادار و سپرده بانکی'!$A$7:$Q$91,11,0)</f>
        <v>0</v>
      </c>
      <c r="F12" s="121"/>
      <c r="G12" s="398">
        <f t="shared" si="0"/>
        <v>0</v>
      </c>
      <c r="H12" s="143"/>
      <c r="I12" s="92">
        <f>VLOOKUP(A12,'سود اوراق بهادار و سپرده بانکی'!$A$7:$Q$91,17,0)</f>
        <v>901685342.59615386</v>
      </c>
      <c r="J12" s="206"/>
      <c r="K12" s="398">
        <f t="shared" si="1"/>
        <v>4.0266808637650789E-3</v>
      </c>
      <c r="L12" s="206"/>
      <c r="M12" s="97"/>
      <c r="N12" s="372"/>
    </row>
    <row r="13" spans="1:14" s="179" customFormat="1">
      <c r="A13" s="397" t="s">
        <v>178</v>
      </c>
      <c r="B13" s="206"/>
      <c r="C13" s="360" t="s">
        <v>181</v>
      </c>
      <c r="D13" s="185"/>
      <c r="E13" s="92">
        <f>VLOOKUP(A13,'سود اوراق بهادار و سپرده بانکی'!$A$7:$Q$91,11,0)</f>
        <v>0</v>
      </c>
      <c r="F13" s="121"/>
      <c r="G13" s="398">
        <f t="shared" si="0"/>
        <v>0</v>
      </c>
      <c r="H13" s="143"/>
      <c r="I13" s="92">
        <f>VLOOKUP(A13,'سود اوراق بهادار و سپرده بانکی'!$A$7:$Q$91,17,0)</f>
        <v>671999177.59615386</v>
      </c>
      <c r="J13" s="206"/>
      <c r="K13" s="398">
        <f t="shared" si="1"/>
        <v>3.0009650828983605E-3</v>
      </c>
      <c r="L13" s="206"/>
      <c r="M13" s="97"/>
      <c r="N13" s="372"/>
    </row>
    <row r="14" spans="1:14" s="179" customFormat="1">
      <c r="A14" s="397" t="s">
        <v>182</v>
      </c>
      <c r="B14" s="206"/>
      <c r="C14" s="360" t="s">
        <v>183</v>
      </c>
      <c r="D14" s="185"/>
      <c r="E14" s="92">
        <f>VLOOKUP(A14,'سود اوراق بهادار و سپرده بانکی'!$A$7:$Q$91,11,0)</f>
        <v>0</v>
      </c>
      <c r="F14" s="121"/>
      <c r="G14" s="398">
        <f t="shared" si="0"/>
        <v>0</v>
      </c>
      <c r="H14" s="143"/>
      <c r="I14" s="92">
        <f>VLOOKUP(A14,'سود اوراق بهادار و سپرده بانکی'!$A$7:$Q$91,17,0)</f>
        <v>302054794.61538464</v>
      </c>
      <c r="J14" s="206"/>
      <c r="K14" s="398">
        <f t="shared" si="1"/>
        <v>1.3488943468730713E-3</v>
      </c>
      <c r="L14" s="206"/>
      <c r="M14" s="97"/>
      <c r="N14" s="372"/>
    </row>
    <row r="15" spans="1:14" s="179" customFormat="1">
      <c r="A15" s="397" t="s">
        <v>198</v>
      </c>
      <c r="B15" s="206"/>
      <c r="C15" s="360" t="s">
        <v>196</v>
      </c>
      <c r="D15" s="185"/>
      <c r="E15" s="92">
        <f>VLOOKUP(A15,'سود اوراق بهادار و سپرده بانکی'!$A$7:$Q$91,11,0)</f>
        <v>0</v>
      </c>
      <c r="F15" s="121"/>
      <c r="G15" s="398">
        <f t="shared" si="0"/>
        <v>0</v>
      </c>
      <c r="H15" s="143"/>
      <c r="I15" s="92">
        <f>VLOOKUP(A15,'سود اوراق بهادار و سپرده بانکی'!$A$7:$Q$91,17,0)</f>
        <v>2348124657.4038463</v>
      </c>
      <c r="J15" s="206"/>
      <c r="K15" s="398">
        <f t="shared" si="1"/>
        <v>1.0486084421068121E-2</v>
      </c>
      <c r="L15" s="206"/>
      <c r="M15" s="97"/>
      <c r="N15" s="372"/>
    </row>
    <row r="16" spans="1:14" s="179" customFormat="1">
      <c r="A16" s="397" t="s">
        <v>199</v>
      </c>
      <c r="B16" s="206"/>
      <c r="C16" s="360" t="s">
        <v>197</v>
      </c>
      <c r="D16" s="185"/>
      <c r="E16" s="92">
        <f>VLOOKUP(A16,'سود اوراق بهادار و سپرده بانکی'!$A$7:$Q$91,11,0)</f>
        <v>0</v>
      </c>
      <c r="F16" s="121"/>
      <c r="G16" s="398">
        <f t="shared" si="0"/>
        <v>0</v>
      </c>
      <c r="H16" s="143"/>
      <c r="I16" s="92">
        <f>VLOOKUP(A16,'سود اوراق بهادار و سپرده بانکی'!$A$7:$Q$91,17,0)</f>
        <v>827146849.32692313</v>
      </c>
      <c r="J16" s="206"/>
      <c r="K16" s="398">
        <f t="shared" si="1"/>
        <v>3.6938122783704052E-3</v>
      </c>
      <c r="L16" s="206"/>
      <c r="M16" s="97"/>
      <c r="N16" s="372"/>
    </row>
    <row r="17" spans="1:14" s="179" customFormat="1">
      <c r="A17" s="397" t="s">
        <v>215</v>
      </c>
      <c r="B17" s="168"/>
      <c r="C17" s="360" t="s">
        <v>276</v>
      </c>
      <c r="D17" s="168"/>
      <c r="E17" s="92">
        <f>VLOOKUP(A17,'سود اوراق بهادار و سپرده بانکی'!$A$7:$Q$91,11,0)</f>
        <v>2271205495.3846154</v>
      </c>
      <c r="F17" s="168"/>
      <c r="G17" s="398">
        <f t="shared" si="0"/>
        <v>8.1697472405486152E-2</v>
      </c>
      <c r="H17" s="168"/>
      <c r="I17" s="92">
        <f>VLOOKUP(A17,'سود اوراق بهادار و سپرده بانکی'!$A$7:$Q$91,17,0)</f>
        <v>5064584259.1538467</v>
      </c>
      <c r="J17" s="168"/>
      <c r="K17" s="398">
        <f t="shared" si="1"/>
        <v>2.2617052264089475E-2</v>
      </c>
      <c r="L17" s="206"/>
      <c r="M17" s="97"/>
      <c r="N17" s="372"/>
    </row>
    <row r="18" spans="1:14" s="179" customFormat="1">
      <c r="A18" s="397" t="s">
        <v>216</v>
      </c>
      <c r="B18" s="168"/>
      <c r="C18" s="360" t="s">
        <v>218</v>
      </c>
      <c r="D18" s="168"/>
      <c r="E18" s="92">
        <f>VLOOKUP(A18,'سود اوراق بهادار و سپرده بانکی'!$A$7:$Q$91,11,0)</f>
        <v>1018838059.9038461</v>
      </c>
      <c r="F18" s="168"/>
      <c r="G18" s="398">
        <f t="shared" si="0"/>
        <v>3.6648596727068904E-2</v>
      </c>
      <c r="H18" s="168"/>
      <c r="I18" s="92">
        <f>VLOOKUP(A18,'سود اوراق بهادار و سپرده بانکی'!$A$7:$Q$91,17,0)</f>
        <v>1714845246.3653846</v>
      </c>
      <c r="J18" s="168"/>
      <c r="K18" s="398">
        <f t="shared" si="1"/>
        <v>7.6580312573082078E-3</v>
      </c>
      <c r="L18" s="206"/>
      <c r="M18" s="97"/>
      <c r="N18" s="372"/>
    </row>
    <row r="19" spans="1:14" s="179" customFormat="1">
      <c r="A19" s="397" t="s">
        <v>217</v>
      </c>
      <c r="B19" s="168"/>
      <c r="C19" s="360" t="s">
        <v>219</v>
      </c>
      <c r="D19" s="168"/>
      <c r="E19" s="92">
        <f>VLOOKUP(A19,'سود اوراق بهادار و سپرده بانکی'!$A$7:$Q$91,11,0)</f>
        <v>203192266.15384614</v>
      </c>
      <c r="F19" s="168"/>
      <c r="G19" s="398">
        <f t="shared" si="0"/>
        <v>7.3090235959916436E-3</v>
      </c>
      <c r="H19" s="168"/>
      <c r="I19" s="92">
        <f>VLOOKUP(A19,'سود اوراق بهادار و سپرده بانکی'!$A$7:$Q$91,17,0)</f>
        <v>222458464.84615386</v>
      </c>
      <c r="J19" s="168"/>
      <c r="K19" s="398">
        <f t="shared" si="1"/>
        <v>9.9343884286667481E-4</v>
      </c>
      <c r="L19" s="206"/>
      <c r="M19" s="97"/>
      <c r="N19" s="372"/>
    </row>
    <row r="20" spans="1:14" s="179" customFormat="1">
      <c r="A20" s="397" t="s">
        <v>262</v>
      </c>
      <c r="B20" s="168"/>
      <c r="C20" s="360" t="s">
        <v>277</v>
      </c>
      <c r="D20" s="168"/>
      <c r="E20" s="92">
        <f>VLOOKUP(A20,'سود اوراق بهادار و سپرده بانکی'!$A$7:$Q$91,11,0)</f>
        <v>0</v>
      </c>
      <c r="F20" s="168"/>
      <c r="G20" s="398">
        <f t="shared" si="0"/>
        <v>0</v>
      </c>
      <c r="H20" s="168"/>
      <c r="I20" s="92">
        <f>VLOOKUP(A20,'سود اوراق بهادار و سپرده بانکی'!$A$7:$Q$91,17,0)</f>
        <v>6428819.3478260869</v>
      </c>
      <c r="J20" s="168"/>
      <c r="K20" s="398">
        <f t="shared" si="1"/>
        <v>2.8709354163349376E-5</v>
      </c>
      <c r="L20" s="206"/>
      <c r="M20" s="97"/>
      <c r="N20" s="372"/>
    </row>
    <row r="21" spans="1:14" s="179" customFormat="1">
      <c r="A21" s="397" t="s">
        <v>260</v>
      </c>
      <c r="B21" s="168"/>
      <c r="C21" s="360" t="s">
        <v>278</v>
      </c>
      <c r="D21" s="168"/>
      <c r="E21" s="92">
        <f>VLOOKUP(A21,'سود اوراق بهادار و سپرده بانکی'!$A$7:$Q$91,11,0)</f>
        <v>0</v>
      </c>
      <c r="F21" s="168"/>
      <c r="G21" s="398">
        <f t="shared" si="0"/>
        <v>0</v>
      </c>
      <c r="H21" s="168"/>
      <c r="I21" s="92">
        <f>VLOOKUP(A21,'سود اوراق بهادار و سپرده بانکی'!$A$7:$Q$91,17,0)</f>
        <v>42272866.956521742</v>
      </c>
      <c r="J21" s="168"/>
      <c r="K21" s="398">
        <f t="shared" si="1"/>
        <v>1.8877909664164402E-4</v>
      </c>
      <c r="L21" s="206"/>
      <c r="M21" s="97"/>
      <c r="N21" s="372"/>
    </row>
    <row r="22" spans="1:14" s="179" customFormat="1">
      <c r="A22" s="397" t="s">
        <v>257</v>
      </c>
      <c r="B22" s="168"/>
      <c r="C22" s="360" t="s">
        <v>233</v>
      </c>
      <c r="D22" s="168"/>
      <c r="E22" s="92">
        <f>VLOOKUP(A22,'سود اوراق بهادار و سپرده بانکی'!$A$7:$Q$91,11,0)</f>
        <v>0</v>
      </c>
      <c r="F22" s="168"/>
      <c r="G22" s="398">
        <f t="shared" si="0"/>
        <v>0</v>
      </c>
      <c r="H22" s="168"/>
      <c r="I22" s="92">
        <f>VLOOKUP(A22,'سود اوراق بهادار و سپرده بانکی'!$A$7:$Q$91,17,0)</f>
        <v>59635978.043478265</v>
      </c>
      <c r="J22" s="168"/>
      <c r="K22" s="398">
        <f t="shared" si="1"/>
        <v>2.6631801609216117E-4</v>
      </c>
      <c r="L22" s="206"/>
      <c r="M22" s="97"/>
      <c r="N22" s="372"/>
    </row>
    <row r="23" spans="1:14" s="179" customFormat="1">
      <c r="A23" s="397" t="s">
        <v>270</v>
      </c>
      <c r="B23" s="168"/>
      <c r="C23" s="360" t="s">
        <v>279</v>
      </c>
      <c r="D23" s="168"/>
      <c r="E23" s="92">
        <f>VLOOKUP(A23,'سود اوراق بهادار و سپرده بانکی'!$A$7:$Q$91,11,0)</f>
        <v>403286414.16981131</v>
      </c>
      <c r="F23" s="168"/>
      <c r="G23" s="398">
        <f t="shared" si="0"/>
        <v>1.450660486693044E-2</v>
      </c>
      <c r="H23" s="168"/>
      <c r="I23" s="92">
        <f>VLOOKUP(A23,'سود اوراق بهادار و سپرده بانکی'!$A$7:$Q$91,17,0)</f>
        <v>403286414.16981131</v>
      </c>
      <c r="J23" s="168"/>
      <c r="K23" s="398">
        <f t="shared" si="1"/>
        <v>1.800967155436318E-3</v>
      </c>
      <c r="L23" s="206"/>
      <c r="M23" s="97"/>
      <c r="N23" s="372"/>
    </row>
    <row r="24" spans="1:14" s="179" customFormat="1">
      <c r="A24" s="397" t="s">
        <v>220</v>
      </c>
      <c r="B24" s="168"/>
      <c r="C24" s="360" t="s">
        <v>115</v>
      </c>
      <c r="D24" s="168"/>
      <c r="E24" s="92">
        <f>VLOOKUP(A24,'سود اوراق بهادار و سپرده بانکی'!$A$7:$Q$91,11,0)</f>
        <v>721970362</v>
      </c>
      <c r="F24" s="168"/>
      <c r="G24" s="398">
        <f t="shared" si="0"/>
        <v>2.5969976669629975E-2</v>
      </c>
      <c r="H24" s="168"/>
      <c r="I24" s="92">
        <f>VLOOKUP(A24,'سود اوراق بهادار و سپرده بانکی'!$A$7:$Q$91,17,0)</f>
        <v>5783570017</v>
      </c>
      <c r="J24" s="168"/>
      <c r="K24" s="398">
        <f t="shared" si="1"/>
        <v>2.5827846601838185E-2</v>
      </c>
      <c r="L24" s="206"/>
      <c r="M24" s="97"/>
      <c r="N24" s="372"/>
    </row>
    <row r="25" spans="1:14" s="179" customFormat="1">
      <c r="A25" s="397" t="s">
        <v>131</v>
      </c>
      <c r="B25" s="168"/>
      <c r="C25" s="360" t="s">
        <v>141</v>
      </c>
      <c r="D25" s="168"/>
      <c r="E25" s="92">
        <f>VLOOKUP(A25,'سود اوراق بهادار و سپرده بانکی'!$A$7:$Q$91,11,0)</f>
        <v>0</v>
      </c>
      <c r="F25" s="168"/>
      <c r="G25" s="398">
        <f t="shared" si="0"/>
        <v>0</v>
      </c>
      <c r="H25" s="168"/>
      <c r="I25" s="92">
        <f>VLOOKUP(A25,'سود اوراق بهادار و سپرده بانکی'!$A$7:$Q$91,17,0)</f>
        <v>152248605.65217394</v>
      </c>
      <c r="J25" s="168"/>
      <c r="K25" s="398">
        <f t="shared" si="1"/>
        <v>6.7990075689752002E-4</v>
      </c>
      <c r="L25" s="206"/>
      <c r="M25" s="97"/>
      <c r="N25" s="372"/>
    </row>
    <row r="26" spans="1:14" s="179" customFormat="1">
      <c r="A26" s="397" t="s">
        <v>132</v>
      </c>
      <c r="B26" s="168"/>
      <c r="C26" s="360" t="s">
        <v>142</v>
      </c>
      <c r="D26" s="168"/>
      <c r="E26" s="92">
        <f>VLOOKUP(A26,'سود اوراق بهادار و سپرده بانکی'!$A$7:$Q$91,11,0)</f>
        <v>0</v>
      </c>
      <c r="F26" s="168"/>
      <c r="G26" s="398">
        <f t="shared" si="0"/>
        <v>0</v>
      </c>
      <c r="H26" s="168"/>
      <c r="I26" s="92">
        <f>VLOOKUP(A26,'سود اوراق بهادار و سپرده بانکی'!$A$7:$Q$91,17,0)</f>
        <v>596096702.60869563</v>
      </c>
      <c r="J26" s="168"/>
      <c r="K26" s="398">
        <f t="shared" si="1"/>
        <v>2.6620053270877426E-3</v>
      </c>
      <c r="L26" s="206"/>
      <c r="M26" s="97"/>
      <c r="N26" s="372"/>
    </row>
    <row r="27" spans="1:14" s="179" customFormat="1">
      <c r="A27" s="397" t="s">
        <v>133</v>
      </c>
      <c r="B27" s="168"/>
      <c r="C27" s="360" t="s">
        <v>143</v>
      </c>
      <c r="D27" s="168"/>
      <c r="E27" s="92">
        <f>VLOOKUP(A27,'سود اوراق بهادار و سپرده بانکی'!$A$7:$Q$91,11,0)</f>
        <v>0</v>
      </c>
      <c r="F27" s="168"/>
      <c r="G27" s="398">
        <f t="shared" si="0"/>
        <v>0</v>
      </c>
      <c r="H27" s="168"/>
      <c r="I27" s="92">
        <f>VLOOKUP(A27,'سود اوراق بهادار و سپرده بانکی'!$A$7:$Q$91,17,0)</f>
        <v>632821551.84782612</v>
      </c>
      <c r="J27" s="168"/>
      <c r="K27" s="398">
        <f t="shared" si="1"/>
        <v>2.8260084894659696E-3</v>
      </c>
      <c r="L27" s="206"/>
      <c r="M27" s="97"/>
      <c r="N27" s="372"/>
    </row>
    <row r="28" spans="1:14" s="179" customFormat="1">
      <c r="A28" s="397" t="s">
        <v>134</v>
      </c>
      <c r="B28" s="168"/>
      <c r="C28" s="360" t="s">
        <v>144</v>
      </c>
      <c r="D28" s="168"/>
      <c r="E28" s="92">
        <f>VLOOKUP(A28,'سود اوراق بهادار و سپرده بانکی'!$A$7:$Q$91,11,0)</f>
        <v>0</v>
      </c>
      <c r="F28" s="168"/>
      <c r="G28" s="398">
        <f t="shared" si="0"/>
        <v>0</v>
      </c>
      <c r="H28" s="168"/>
      <c r="I28" s="92">
        <f>VLOOKUP(A28,'سود اوراق بهادار و سپرده بانکی'!$A$7:$Q$91,17,0)</f>
        <v>1805866491.521739</v>
      </c>
      <c r="J28" s="168"/>
      <c r="K28" s="398">
        <f t="shared" si="1"/>
        <v>8.0645073180278908E-3</v>
      </c>
      <c r="L28" s="206"/>
      <c r="M28" s="97"/>
      <c r="N28" s="372"/>
    </row>
    <row r="29" spans="1:14" s="179" customFormat="1">
      <c r="A29" s="397" t="s">
        <v>135</v>
      </c>
      <c r="B29" s="168"/>
      <c r="C29" s="360" t="s">
        <v>145</v>
      </c>
      <c r="D29" s="168"/>
      <c r="E29" s="92">
        <f>VLOOKUP(A29,'سود اوراق بهادار و سپرده بانکی'!$A$7:$Q$91,11,0)</f>
        <v>0</v>
      </c>
      <c r="F29" s="168"/>
      <c r="G29" s="398">
        <f t="shared" si="0"/>
        <v>0</v>
      </c>
      <c r="H29" s="168"/>
      <c r="I29" s="92">
        <f>VLOOKUP(A29,'سود اوراق بهادار و سپرده بانکی'!$A$7:$Q$91,17,0)</f>
        <v>411097604.67391306</v>
      </c>
      <c r="J29" s="168"/>
      <c r="K29" s="398">
        <f t="shared" si="1"/>
        <v>1.8358498022314066E-3</v>
      </c>
      <c r="L29" s="206"/>
      <c r="M29" s="97"/>
      <c r="N29" s="372"/>
    </row>
    <row r="30" spans="1:14" s="179" customFormat="1">
      <c r="A30" s="397" t="s">
        <v>136</v>
      </c>
      <c r="B30" s="168"/>
      <c r="C30" s="360" t="s">
        <v>146</v>
      </c>
      <c r="D30" s="168"/>
      <c r="E30" s="92">
        <f>VLOOKUP(A30,'سود اوراق بهادار و سپرده بانکی'!$A$7:$Q$91,11,0)</f>
        <v>0</v>
      </c>
      <c r="F30" s="168"/>
      <c r="G30" s="398">
        <f t="shared" si="0"/>
        <v>0</v>
      </c>
      <c r="H30" s="168"/>
      <c r="I30" s="92">
        <f>VLOOKUP(A30,'سود اوراق بهادار و سپرده بانکی'!$A$7:$Q$91,17,0)</f>
        <v>177067831.30434784</v>
      </c>
      <c r="J30" s="168"/>
      <c r="K30" s="398">
        <f t="shared" si="1"/>
        <v>7.9073665082402987E-4</v>
      </c>
      <c r="L30" s="206"/>
      <c r="M30" s="97"/>
      <c r="N30" s="372"/>
    </row>
    <row r="31" spans="1:14" s="179" customFormat="1">
      <c r="A31" s="397" t="s">
        <v>137</v>
      </c>
      <c r="B31" s="168"/>
      <c r="C31" s="360" t="s">
        <v>147</v>
      </c>
      <c r="D31" s="168"/>
      <c r="E31" s="92">
        <f>VLOOKUP(A31,'سود اوراق بهادار و سپرده بانکی'!$A$7:$Q$91,11,0)</f>
        <v>0</v>
      </c>
      <c r="F31" s="168"/>
      <c r="G31" s="398">
        <f t="shared" si="0"/>
        <v>0</v>
      </c>
      <c r="H31" s="168"/>
      <c r="I31" s="92">
        <f>VLOOKUP(A31,'سود اوراق بهادار و سپرده بانکی'!$A$7:$Q$91,17,0)</f>
        <v>563461456.30434787</v>
      </c>
      <c r="J31" s="168"/>
      <c r="K31" s="398">
        <f t="shared" si="1"/>
        <v>2.5162652162419642E-3</v>
      </c>
      <c r="L31" s="206"/>
      <c r="M31" s="97"/>
      <c r="N31" s="372"/>
    </row>
    <row r="32" spans="1:14" s="179" customFormat="1">
      <c r="A32" s="397" t="s">
        <v>138</v>
      </c>
      <c r="B32" s="168"/>
      <c r="C32" s="360" t="s">
        <v>148</v>
      </c>
      <c r="D32" s="168"/>
      <c r="E32" s="92">
        <f>VLOOKUP(A32,'سود اوراق بهادار و سپرده بانکی'!$A$7:$Q$91,11,0)</f>
        <v>0</v>
      </c>
      <c r="F32" s="168"/>
      <c r="G32" s="398">
        <f t="shared" si="0"/>
        <v>0</v>
      </c>
      <c r="H32" s="168"/>
      <c r="I32" s="92">
        <f>VLOOKUP(A32,'سود اوراق بهادار و سپرده بانکی'!$A$7:$Q$91,17,0)</f>
        <v>294648955.43478262</v>
      </c>
      <c r="J32" s="168"/>
      <c r="K32" s="398">
        <f t="shared" si="1"/>
        <v>1.3158218885554163E-3</v>
      </c>
      <c r="L32" s="206"/>
      <c r="M32" s="97"/>
      <c r="N32" s="372"/>
    </row>
    <row r="33" spans="1:14" s="179" customFormat="1">
      <c r="A33" s="397" t="s">
        <v>139</v>
      </c>
      <c r="B33" s="168"/>
      <c r="C33" s="360" t="s">
        <v>149</v>
      </c>
      <c r="D33" s="168"/>
      <c r="E33" s="92">
        <f>VLOOKUP(A33,'سود اوراق بهادار و سپرده بانکی'!$A$7:$Q$91,11,0)</f>
        <v>0</v>
      </c>
      <c r="F33" s="168"/>
      <c r="G33" s="398">
        <f t="shared" si="0"/>
        <v>0</v>
      </c>
      <c r="H33" s="168"/>
      <c r="I33" s="92">
        <f>VLOOKUP(A33,'سود اوراق بهادار و سپرده بانکی'!$A$7:$Q$91,17,0)</f>
        <v>306789858.75000006</v>
      </c>
      <c r="J33" s="168"/>
      <c r="K33" s="398">
        <f t="shared" si="1"/>
        <v>1.370039852116241E-3</v>
      </c>
      <c r="L33" s="206"/>
      <c r="M33" s="97"/>
      <c r="N33" s="372"/>
    </row>
    <row r="34" spans="1:14" s="179" customFormat="1">
      <c r="A34" s="397" t="s">
        <v>229</v>
      </c>
      <c r="B34" s="168"/>
      <c r="C34" s="360" t="s">
        <v>234</v>
      </c>
      <c r="D34" s="168"/>
      <c r="E34" s="92">
        <f>VLOOKUP(A34,'سود اوراق بهادار و سپرده بانکی'!$A$7:$Q$91,11,0)</f>
        <v>0</v>
      </c>
      <c r="F34" s="168"/>
      <c r="G34" s="398">
        <f t="shared" si="0"/>
        <v>0</v>
      </c>
      <c r="H34" s="168"/>
      <c r="I34" s="92">
        <f>VLOOKUP(A34,'سود اوراق بهادار و سپرده بانکی'!$A$7:$Q$91,17,0)</f>
        <v>4228956.1956521738</v>
      </c>
      <c r="J34" s="168"/>
      <c r="K34" s="398">
        <f t="shared" si="1"/>
        <v>1.8885365195916418E-5</v>
      </c>
      <c r="L34" s="206"/>
      <c r="M34" s="97"/>
      <c r="N34" s="372"/>
    </row>
    <row r="35" spans="1:14" s="179" customFormat="1">
      <c r="A35" s="397" t="s">
        <v>230</v>
      </c>
      <c r="B35" s="168"/>
      <c r="C35" s="360" t="s">
        <v>235</v>
      </c>
      <c r="D35" s="168"/>
      <c r="E35" s="92">
        <f>VLOOKUP(A35,'سود اوراق بهادار و سپرده بانکی'!$A$7:$Q$91,11,0)</f>
        <v>0</v>
      </c>
      <c r="F35" s="168"/>
      <c r="G35" s="398">
        <f t="shared" si="0"/>
        <v>0</v>
      </c>
      <c r="H35" s="168"/>
      <c r="I35" s="92">
        <f>VLOOKUP(A35,'سود اوراق بهادار و سپرده بانکی'!$A$7:$Q$91,17,0)</f>
        <v>1378686.5217391304</v>
      </c>
      <c r="J35" s="168"/>
      <c r="K35" s="398">
        <f t="shared" si="1"/>
        <v>6.1568380586443768E-6</v>
      </c>
      <c r="L35" s="206"/>
      <c r="M35" s="97"/>
      <c r="N35" s="372"/>
    </row>
    <row r="36" spans="1:14" s="179" customFormat="1">
      <c r="A36" s="397" t="s">
        <v>231</v>
      </c>
      <c r="B36" s="168"/>
      <c r="C36" s="360" t="s">
        <v>236</v>
      </c>
      <c r="D36" s="168"/>
      <c r="E36" s="92">
        <f>VLOOKUP(A36,'سود اوراق بهادار و سپرده بانکی'!$A$7:$Q$91,11,0)</f>
        <v>0</v>
      </c>
      <c r="F36" s="168"/>
      <c r="G36" s="398">
        <f t="shared" si="0"/>
        <v>0</v>
      </c>
      <c r="H36" s="168"/>
      <c r="I36" s="92">
        <f>VLOOKUP(A36,'سود اوراق بهادار و سپرده بانکی'!$A$7:$Q$91,17,0)</f>
        <v>1178398.3695652173</v>
      </c>
      <c r="J36" s="168"/>
      <c r="K36" s="398">
        <f t="shared" si="1"/>
        <v>5.262405786655259E-6</v>
      </c>
      <c r="L36" s="206"/>
      <c r="M36" s="97"/>
      <c r="N36" s="372"/>
    </row>
    <row r="37" spans="1:14" s="179" customFormat="1">
      <c r="A37" s="397" t="s">
        <v>232</v>
      </c>
      <c r="B37" s="168"/>
      <c r="C37" s="359" t="s">
        <v>237</v>
      </c>
      <c r="D37" s="168"/>
      <c r="E37" s="92">
        <f>VLOOKUP(A37,'سود اوراق بهادار و سپرده بانکی'!$A$7:$Q$91,11,0)</f>
        <v>0</v>
      </c>
      <c r="F37" s="168"/>
      <c r="G37" s="398">
        <f t="shared" si="0"/>
        <v>0</v>
      </c>
      <c r="H37" s="168"/>
      <c r="I37" s="92">
        <f>VLOOKUP(A37,'سود اوراق بهادار و سپرده بانکی'!$A$7:$Q$91,17,0)</f>
        <v>3840706.9565217388</v>
      </c>
      <c r="J37" s="168"/>
      <c r="K37" s="398">
        <f t="shared" si="1"/>
        <v>1.7151549963790517E-5</v>
      </c>
      <c r="L37" s="206"/>
      <c r="M37" s="97"/>
      <c r="N37" s="372"/>
    </row>
    <row r="38" spans="1:14" s="179" customFormat="1">
      <c r="A38" s="397" t="s">
        <v>113</v>
      </c>
      <c r="B38" s="168"/>
      <c r="C38" s="359" t="s">
        <v>116</v>
      </c>
      <c r="D38" s="168"/>
      <c r="E38" s="92">
        <f>VLOOKUP(A38,'سود اوراق بهادار و سپرده بانکی'!$A$7:$Q$91,11,0)</f>
        <v>0</v>
      </c>
      <c r="F38" s="168"/>
      <c r="G38" s="398">
        <f t="shared" si="0"/>
        <v>0</v>
      </c>
      <c r="H38" s="168"/>
      <c r="I38" s="92">
        <f>VLOOKUP(A38,'سود اوراق بهادار و سپرده بانکی'!$A$7:$Q$91,17,0)</f>
        <v>678445934.673913</v>
      </c>
      <c r="J38" s="168"/>
      <c r="K38" s="398">
        <f t="shared" si="1"/>
        <v>3.0297545420722369E-3</v>
      </c>
      <c r="L38" s="206"/>
      <c r="M38" s="97"/>
      <c r="N38" s="372"/>
    </row>
    <row r="39" spans="1:14" s="179" customFormat="1">
      <c r="A39" s="397" t="s">
        <v>130</v>
      </c>
      <c r="B39" s="168"/>
      <c r="C39" s="359" t="s">
        <v>140</v>
      </c>
      <c r="D39" s="168"/>
      <c r="E39" s="92">
        <f>VLOOKUP(A39,'سود اوراق بهادار و سپرده بانکی'!$A$7:$Q$91,11,0)</f>
        <v>0</v>
      </c>
      <c r="F39" s="168"/>
      <c r="G39" s="398">
        <f t="shared" si="0"/>
        <v>0</v>
      </c>
      <c r="H39" s="168"/>
      <c r="I39" s="92">
        <f>VLOOKUP(A39,'سود اوراق بهادار و سپرده بانکی'!$A$7:$Q$91,17,0)</f>
        <v>174872202.06521738</v>
      </c>
      <c r="J39" s="168"/>
      <c r="K39" s="398">
        <f t="shared" si="1"/>
        <v>7.8093156935772341E-4</v>
      </c>
      <c r="L39" s="206"/>
      <c r="M39" s="97"/>
      <c r="N39" s="372"/>
    </row>
    <row r="40" spans="1:14" s="179" customFormat="1">
      <c r="A40" s="397" t="s">
        <v>258</v>
      </c>
      <c r="B40" s="168"/>
      <c r="C40" s="359" t="s">
        <v>280</v>
      </c>
      <c r="D40" s="168"/>
      <c r="E40" s="92">
        <f>VLOOKUP(A40,'سود اوراق بهادار و سپرده بانکی'!$A$7:$Q$91,11,0)</f>
        <v>0</v>
      </c>
      <c r="F40" s="168"/>
      <c r="G40" s="398">
        <f t="shared" si="0"/>
        <v>0</v>
      </c>
      <c r="H40" s="168"/>
      <c r="I40" s="92">
        <f>VLOOKUP(A40,'سود اوراق بهادار و سپرده بانکی'!$A$7:$Q$91,17,0)</f>
        <v>12327892662.115385</v>
      </c>
      <c r="J40" s="168"/>
      <c r="K40" s="398">
        <f t="shared" si="1"/>
        <v>5.5053006994839108E-2</v>
      </c>
      <c r="L40" s="206"/>
      <c r="M40" s="97"/>
      <c r="N40" s="372"/>
    </row>
    <row r="41" spans="1:14" s="179" customFormat="1">
      <c r="A41" s="397" t="s">
        <v>154</v>
      </c>
      <c r="B41" s="168"/>
      <c r="C41" s="359" t="s">
        <v>164</v>
      </c>
      <c r="D41" s="168"/>
      <c r="E41" s="92">
        <f>VLOOKUP(A41,'سود اوراق بهادار و سپرده بانکی'!$A$7:$Q$91,11,0)</f>
        <v>0</v>
      </c>
      <c r="F41" s="168"/>
      <c r="G41" s="398">
        <f t="shared" si="0"/>
        <v>0</v>
      </c>
      <c r="H41" s="168"/>
      <c r="I41" s="92">
        <f>VLOOKUP(A41,'سود اوراق بهادار و سپرده بانکی'!$A$7:$Q$91,17,0)</f>
        <v>1062900764.1346154</v>
      </c>
      <c r="J41" s="168"/>
      <c r="K41" s="398">
        <f t="shared" si="1"/>
        <v>4.7466249752925634E-3</v>
      </c>
      <c r="L41" s="206"/>
      <c r="M41" s="97"/>
      <c r="N41" s="372"/>
    </row>
    <row r="42" spans="1:14" s="179" customFormat="1">
      <c r="A42" s="397" t="s">
        <v>207</v>
      </c>
      <c r="B42" s="168"/>
      <c r="C42" s="359" t="s">
        <v>213</v>
      </c>
      <c r="D42" s="168"/>
      <c r="E42" s="92">
        <f>VLOOKUP(A42,'سود اوراق بهادار و سپرده بانکی'!$A$7:$Q$91,11,0)</f>
        <v>151773289.61538464</v>
      </c>
      <c r="F42" s="168"/>
      <c r="G42" s="398">
        <f t="shared" si="0"/>
        <v>5.4594329599149559E-3</v>
      </c>
      <c r="H42" s="168"/>
      <c r="I42" s="92">
        <f>VLOOKUP(A42,'سود اوراق بهادار و سپرده بانکی'!$A$7:$Q$91,17,0)</f>
        <v>188408219.71153846</v>
      </c>
      <c r="J42" s="168"/>
      <c r="K42" s="398">
        <f t="shared" si="1"/>
        <v>8.413797330941936E-4</v>
      </c>
      <c r="L42" s="206"/>
      <c r="M42" s="97"/>
      <c r="N42" s="372"/>
    </row>
    <row r="43" spans="1:14" s="179" customFormat="1">
      <c r="A43" s="397" t="s">
        <v>171</v>
      </c>
      <c r="B43" s="168"/>
      <c r="C43" s="359" t="s">
        <v>281</v>
      </c>
      <c r="D43" s="168"/>
      <c r="E43" s="92">
        <f>VLOOKUP(A43,'سود اوراق بهادار و سپرده بانکی'!$A$7:$Q$91,11,0)</f>
        <v>0</v>
      </c>
      <c r="F43" s="168"/>
      <c r="G43" s="398">
        <f t="shared" si="0"/>
        <v>0</v>
      </c>
      <c r="H43" s="168"/>
      <c r="I43" s="92">
        <f>VLOOKUP(A43,'سود اوراق بهادار و سپرده بانکی'!$A$7:$Q$91,17,0)</f>
        <v>2879866768.8461537</v>
      </c>
      <c r="J43" s="168"/>
      <c r="K43" s="398">
        <f t="shared" si="1"/>
        <v>1.286069969255286E-2</v>
      </c>
      <c r="L43" s="206"/>
      <c r="M43" s="97"/>
      <c r="N43" s="372"/>
    </row>
    <row r="44" spans="1:14" s="179" customFormat="1">
      <c r="A44" s="397" t="s">
        <v>206</v>
      </c>
      <c r="B44" s="168"/>
      <c r="C44" s="359" t="s">
        <v>212</v>
      </c>
      <c r="D44" s="168"/>
      <c r="E44" s="92">
        <f>VLOOKUP(A44,'سود اوراق بهادار و سپرده بانکی'!$A$7:$Q$91,11,0)</f>
        <v>948895889.71153855</v>
      </c>
      <c r="F44" s="168"/>
      <c r="G44" s="398">
        <f t="shared" si="0"/>
        <v>3.4132708785234639E-2</v>
      </c>
      <c r="H44" s="168"/>
      <c r="I44" s="92">
        <f>VLOOKUP(A44,'سود اوراق بهادار و سپرده بانکی'!$A$7:$Q$91,17,0)</f>
        <v>1668747945.2884617</v>
      </c>
      <c r="J44" s="168"/>
      <c r="K44" s="398">
        <f t="shared" si="1"/>
        <v>7.4521732807515256E-3</v>
      </c>
      <c r="L44" s="206"/>
      <c r="M44" s="97"/>
      <c r="N44" s="372"/>
    </row>
    <row r="45" spans="1:14" s="179" customFormat="1">
      <c r="A45" s="397" t="s">
        <v>272</v>
      </c>
      <c r="B45" s="168"/>
      <c r="C45" s="359" t="s">
        <v>282</v>
      </c>
      <c r="D45" s="168"/>
      <c r="E45" s="92">
        <f>VLOOKUP(A45,'سود اوراق بهادار و سپرده بانکی'!$A$7:$Q$91,11,0)</f>
        <v>3133588944.7307692</v>
      </c>
      <c r="F45" s="168"/>
      <c r="G45" s="398">
        <f t="shared" si="0"/>
        <v>0.11271824450166071</v>
      </c>
      <c r="H45" s="168"/>
      <c r="I45" s="92">
        <f>VLOOKUP(A45,'سود اوراق بهادار و سپرده بانکی'!$A$7:$Q$91,17,0)</f>
        <v>3133588944.7307692</v>
      </c>
      <c r="J45" s="168"/>
      <c r="K45" s="398">
        <f t="shared" si="1"/>
        <v>1.3993753743765268E-2</v>
      </c>
      <c r="L45" s="206"/>
      <c r="M45" s="97"/>
      <c r="N45" s="372"/>
    </row>
    <row r="46" spans="1:14" s="179" customFormat="1">
      <c r="A46" s="397" t="s">
        <v>271</v>
      </c>
      <c r="B46" s="168"/>
      <c r="C46" s="359" t="s">
        <v>283</v>
      </c>
      <c r="D46" s="168"/>
      <c r="E46" s="92">
        <f>VLOOKUP(A46,'سود اوراق بهادار و سپرده بانکی'!$A$7:$Q$91,11,0)</f>
        <v>612118850.23076916</v>
      </c>
      <c r="F46" s="168"/>
      <c r="G46" s="398">
        <f t="shared" si="0"/>
        <v>2.2018510864485873E-2</v>
      </c>
      <c r="H46" s="168"/>
      <c r="I46" s="92">
        <f>VLOOKUP(A46,'سود اوراق بهادار و سپرده بانکی'!$A$7:$Q$91,17,0)</f>
        <v>612118850.23076916</v>
      </c>
      <c r="J46" s="168"/>
      <c r="K46" s="398">
        <f t="shared" si="1"/>
        <v>2.7335558693650148E-3</v>
      </c>
      <c r="L46" s="206"/>
      <c r="M46" s="97"/>
      <c r="N46" s="372"/>
    </row>
    <row r="47" spans="1:14" s="179" customFormat="1">
      <c r="A47" s="397" t="s">
        <v>172</v>
      </c>
      <c r="B47" s="168"/>
      <c r="C47" s="359" t="s">
        <v>284</v>
      </c>
      <c r="D47" s="168"/>
      <c r="E47" s="92">
        <f>VLOOKUP(A47,'سود اوراق بهادار و سپرده بانکی'!$A$7:$Q$91,11,0)</f>
        <v>0</v>
      </c>
      <c r="F47" s="168"/>
      <c r="G47" s="398">
        <f t="shared" si="0"/>
        <v>0</v>
      </c>
      <c r="H47" s="168"/>
      <c r="I47" s="92">
        <f>VLOOKUP(A47,'سود اوراق بهادار و سپرده بانکی'!$A$7:$Q$91,17,0)</f>
        <v>1237505882.0192306</v>
      </c>
      <c r="J47" s="168"/>
      <c r="K47" s="398">
        <f t="shared" si="1"/>
        <v>5.5263638195296276E-3</v>
      </c>
      <c r="L47" s="206"/>
      <c r="M47" s="97"/>
      <c r="N47" s="372"/>
    </row>
    <row r="48" spans="1:14" s="179" customFormat="1">
      <c r="A48" s="397" t="s">
        <v>173</v>
      </c>
      <c r="B48" s="168"/>
      <c r="C48" s="359" t="s">
        <v>285</v>
      </c>
      <c r="D48" s="168"/>
      <c r="E48" s="92">
        <f>VLOOKUP(A48,'سود اوراق بهادار و سپرده بانکی'!$A$7:$Q$91,11,0)</f>
        <v>0</v>
      </c>
      <c r="F48" s="168"/>
      <c r="G48" s="398">
        <f t="shared" si="0"/>
        <v>0</v>
      </c>
      <c r="H48" s="168"/>
      <c r="I48" s="92">
        <f>VLOOKUP(A48,'سود اوراق بهادار و سپرده بانکی'!$A$7:$Q$91,17,0)</f>
        <v>516671506.80000001</v>
      </c>
      <c r="J48" s="168"/>
      <c r="K48" s="398">
        <f t="shared" si="1"/>
        <v>2.3073140606833936E-3</v>
      </c>
      <c r="L48" s="206"/>
      <c r="M48" s="97"/>
      <c r="N48" s="372"/>
    </row>
    <row r="49" spans="1:14" s="179" customFormat="1">
      <c r="A49" s="397" t="s">
        <v>177</v>
      </c>
      <c r="B49" s="168"/>
      <c r="C49" s="359" t="s">
        <v>208</v>
      </c>
      <c r="D49" s="168"/>
      <c r="E49" s="92">
        <f>VLOOKUP(A49,'سود اوراق بهادار و سپرده بانکی'!$A$7:$Q$91,11,0)</f>
        <v>1942215584.7115386</v>
      </c>
      <c r="F49" s="168"/>
      <c r="G49" s="398">
        <f t="shared" si="0"/>
        <v>6.9863385087752944E-2</v>
      </c>
      <c r="H49" s="168"/>
      <c r="I49" s="92">
        <f>VLOOKUP(A49,'سود اوراق بهادار و سپرده بانکی'!$A$7:$Q$91,17,0)</f>
        <v>9448728234.6153851</v>
      </c>
      <c r="J49" s="168"/>
      <c r="K49" s="398">
        <f t="shared" si="1"/>
        <v>4.2195443767220064E-2</v>
      </c>
      <c r="L49" s="206"/>
      <c r="M49" s="97"/>
      <c r="N49" s="372"/>
    </row>
    <row r="50" spans="1:14" s="179" customFormat="1">
      <c r="A50" s="397" t="s">
        <v>187</v>
      </c>
      <c r="B50" s="168"/>
      <c r="C50" s="359" t="s">
        <v>209</v>
      </c>
      <c r="D50" s="168"/>
      <c r="E50" s="92">
        <f>VLOOKUP(A50,'سود اوراق بهادار و سپرده بانکی'!$A$7:$Q$91,11,0)</f>
        <v>1825353090</v>
      </c>
      <c r="F50" s="168"/>
      <c r="G50" s="398">
        <f t="shared" si="0"/>
        <v>6.5659727401852802E-2</v>
      </c>
      <c r="H50" s="168"/>
      <c r="I50" s="92">
        <f>VLOOKUP(A50,'سود اوراق بهادار و سپرده بانکی'!$A$7:$Q$91,17,0)</f>
        <v>6940740325.9230766</v>
      </c>
      <c r="J50" s="168"/>
      <c r="K50" s="398">
        <f t="shared" si="1"/>
        <v>3.0995453658244108E-2</v>
      </c>
      <c r="L50" s="206"/>
      <c r="M50" s="97"/>
      <c r="N50" s="372"/>
    </row>
    <row r="51" spans="1:14" s="179" customFormat="1">
      <c r="A51" s="397" t="s">
        <v>188</v>
      </c>
      <c r="B51" s="168"/>
      <c r="C51" s="359" t="s">
        <v>286</v>
      </c>
      <c r="D51" s="168"/>
      <c r="E51" s="92">
        <f>VLOOKUP(A51,'سود اوراق بهادار و سپرده بانکی'!$A$7:$Q$91,11,0)</f>
        <v>486927027.69230771</v>
      </c>
      <c r="F51" s="168"/>
      <c r="G51" s="398">
        <f t="shared" si="0"/>
        <v>1.7515239149085041E-2</v>
      </c>
      <c r="H51" s="168"/>
      <c r="I51" s="92">
        <f>VLOOKUP(A51,'سود اوراق بهادار و سپرده بانکی'!$A$7:$Q$91,17,0)</f>
        <v>1803749916.346154</v>
      </c>
      <c r="J51" s="168"/>
      <c r="K51" s="398">
        <f t="shared" si="1"/>
        <v>8.0550552704525026E-3</v>
      </c>
      <c r="L51" s="206"/>
      <c r="M51" s="97"/>
      <c r="N51" s="372"/>
    </row>
    <row r="52" spans="1:14" s="179" customFormat="1">
      <c r="A52" s="397" t="s">
        <v>192</v>
      </c>
      <c r="B52" s="168"/>
      <c r="C52" s="359" t="s">
        <v>210</v>
      </c>
      <c r="D52" s="168"/>
      <c r="E52" s="92">
        <f>VLOOKUP(A52,'سود اوراق بهادار و سپرده بانکی'!$A$7:$Q$91,11,0)</f>
        <v>0</v>
      </c>
      <c r="F52" s="168"/>
      <c r="G52" s="398">
        <f t="shared" si="0"/>
        <v>0</v>
      </c>
      <c r="H52" s="168"/>
      <c r="I52" s="92">
        <f>VLOOKUP(A52,'سود اوراق بهادار و سپرده بانکی'!$A$7:$Q$91,17,0)</f>
        <v>463895754.30000001</v>
      </c>
      <c r="J52" s="168"/>
      <c r="K52" s="398">
        <f t="shared" si="1"/>
        <v>2.0716319411862695E-3</v>
      </c>
      <c r="L52" s="206"/>
      <c r="M52" s="97"/>
      <c r="N52" s="372"/>
    </row>
    <row r="53" spans="1:14" s="179" customFormat="1">
      <c r="A53" s="397" t="s">
        <v>193</v>
      </c>
      <c r="B53" s="168"/>
      <c r="C53" s="359" t="s">
        <v>211</v>
      </c>
      <c r="D53" s="168"/>
      <c r="E53" s="92">
        <f>VLOOKUP(A53,'سود اوراق بهادار و سپرده بانکی'!$A$7:$Q$91,11,0)</f>
        <v>0</v>
      </c>
      <c r="F53" s="168"/>
      <c r="G53" s="398">
        <f t="shared" si="0"/>
        <v>0</v>
      </c>
      <c r="H53" s="168"/>
      <c r="I53" s="92">
        <f>VLOOKUP(A53,'سود اوراق بهادار و سپرده بانکی'!$A$7:$Q$91,17,0)</f>
        <v>399452054.40000004</v>
      </c>
      <c r="J53" s="168"/>
      <c r="K53" s="398">
        <f t="shared" si="1"/>
        <v>1.7838439502775925E-3</v>
      </c>
      <c r="L53" s="206"/>
      <c r="M53" s="97"/>
      <c r="N53" s="372"/>
    </row>
    <row r="54" spans="1:14" s="179" customFormat="1">
      <c r="A54" s="397" t="s">
        <v>155</v>
      </c>
      <c r="B54" s="168"/>
      <c r="C54" s="359" t="s">
        <v>287</v>
      </c>
      <c r="D54" s="168"/>
      <c r="E54" s="92">
        <f>VLOOKUP(A54,'سود اوراق بهادار و سپرده بانکی'!$A$7:$Q$91,11,0)</f>
        <v>0</v>
      </c>
      <c r="F54" s="168"/>
      <c r="G54" s="398">
        <f t="shared" si="0"/>
        <v>0</v>
      </c>
      <c r="H54" s="168"/>
      <c r="I54" s="92">
        <f>VLOOKUP(A54,'سود اوراق بهادار و سپرده بانکی'!$A$7:$Q$91,17,0)</f>
        <v>2147054794.2</v>
      </c>
      <c r="J54" s="168"/>
      <c r="K54" s="398">
        <f t="shared" si="1"/>
        <v>9.5881612407803674E-3</v>
      </c>
      <c r="L54" s="206"/>
      <c r="M54" s="97"/>
      <c r="N54" s="372"/>
    </row>
    <row r="55" spans="1:14" s="179" customFormat="1">
      <c r="A55" s="397" t="s">
        <v>156</v>
      </c>
      <c r="B55" s="168"/>
      <c r="C55" s="360" t="s">
        <v>288</v>
      </c>
      <c r="D55" s="168"/>
      <c r="E55" s="92">
        <f>VLOOKUP(A55,'سود اوراق بهادار و سپرده بانکی'!$A$7:$Q$91,11,0)</f>
        <v>0</v>
      </c>
      <c r="F55" s="168"/>
      <c r="G55" s="398">
        <f t="shared" si="0"/>
        <v>0</v>
      </c>
      <c r="H55" s="168"/>
      <c r="I55" s="92">
        <f>VLOOKUP(A55,'سود اوراق بهادار و سپرده بانکی'!$A$7:$Q$91,17,0)</f>
        <v>343403012.69999999</v>
      </c>
      <c r="J55" s="168"/>
      <c r="K55" s="398">
        <f t="shared" si="1"/>
        <v>1.5335442137908658E-3</v>
      </c>
      <c r="L55" s="206"/>
      <c r="M55" s="97"/>
      <c r="N55" s="372"/>
    </row>
    <row r="56" spans="1:14" s="179" customFormat="1">
      <c r="A56" s="397" t="s">
        <v>159</v>
      </c>
      <c r="B56" s="168"/>
      <c r="C56" s="360" t="s">
        <v>289</v>
      </c>
      <c r="D56" s="168"/>
      <c r="E56" s="92">
        <f>VLOOKUP(A56,'سود اوراق بهادار و سپرده بانکی'!$A$7:$Q$91,11,0)</f>
        <v>0</v>
      </c>
      <c r="F56" s="168"/>
      <c r="G56" s="398">
        <f t="shared" si="0"/>
        <v>0</v>
      </c>
      <c r="H56" s="168"/>
      <c r="I56" s="92">
        <f>VLOOKUP(A56,'سود اوراق بهادار و سپرده بانکی'!$A$7:$Q$91,17,0)</f>
        <v>47455446393.17308</v>
      </c>
      <c r="J56" s="168"/>
      <c r="K56" s="398">
        <f t="shared" si="1"/>
        <v>0.21192308319289593</v>
      </c>
      <c r="L56" s="206"/>
      <c r="M56" s="97"/>
      <c r="N56" s="372"/>
    </row>
    <row r="57" spans="1:14" s="179" customFormat="1">
      <c r="A57" s="397" t="s">
        <v>261</v>
      </c>
      <c r="B57" s="168"/>
      <c r="C57" s="360" t="s">
        <v>169</v>
      </c>
      <c r="D57" s="168"/>
      <c r="E57" s="92">
        <f>VLOOKUP(A57,'سود اوراق بهادار و سپرده بانکی'!$A$7:$Q$91,11,0)</f>
        <v>0</v>
      </c>
      <c r="F57" s="168"/>
      <c r="G57" s="398">
        <f t="shared" si="0"/>
        <v>0</v>
      </c>
      <c r="H57" s="168"/>
      <c r="I57" s="92">
        <f>VLOOKUP(A57,'سود اوراق بهادار و سپرده بانکی'!$A$7:$Q$91,17,0)</f>
        <v>4983904108.8000002</v>
      </c>
      <c r="J57" s="168"/>
      <c r="K57" s="398">
        <f t="shared" si="1"/>
        <v>2.2256756712894041E-2</v>
      </c>
      <c r="L57" s="206"/>
      <c r="M57" s="97"/>
      <c r="N57" s="372"/>
    </row>
    <row r="58" spans="1:14" s="179" customFormat="1">
      <c r="A58" s="397" t="s">
        <v>214</v>
      </c>
      <c r="B58" s="168"/>
      <c r="C58" s="360" t="s">
        <v>94</v>
      </c>
      <c r="D58" s="168"/>
      <c r="E58" s="92">
        <f>VLOOKUP(A58,'سود اوراق بهادار و سپرده بانکی'!$A$7:$Q$91,11,0)</f>
        <v>1417718327</v>
      </c>
      <c r="F58" s="168"/>
      <c r="G58" s="398">
        <f t="shared" si="0"/>
        <v>5.0996708194922885E-2</v>
      </c>
      <c r="H58" s="168"/>
      <c r="I58" s="92">
        <f>VLOOKUP(A58,'سود اوراق بهادار و سپرده بانکی'!$A$7:$Q$91,17,0)</f>
        <v>16401575213</v>
      </c>
      <c r="J58" s="168"/>
      <c r="K58" s="398">
        <f t="shared" si="1"/>
        <v>7.3244962434052166E-2</v>
      </c>
      <c r="L58" s="206"/>
      <c r="M58" s="97"/>
      <c r="N58" s="372"/>
    </row>
    <row r="59" spans="1:14" s="179" customFormat="1">
      <c r="A59" s="397" t="s">
        <v>153</v>
      </c>
      <c r="B59" s="168"/>
      <c r="C59" s="360" t="s">
        <v>290</v>
      </c>
      <c r="D59" s="168"/>
      <c r="E59" s="92">
        <f>VLOOKUP(A59,'سود اوراق بهادار و سپرده بانکی'!$A$7:$Q$91,11,0)</f>
        <v>0</v>
      </c>
      <c r="F59" s="168"/>
      <c r="G59" s="398">
        <f t="shared" si="0"/>
        <v>0</v>
      </c>
      <c r="H59" s="168"/>
      <c r="I59" s="92">
        <f>VLOOKUP(A59,'سود اوراق بهادار و سپرده بانکی'!$A$7:$Q$91,17,0)</f>
        <v>589338777.98076928</v>
      </c>
      <c r="J59" s="168"/>
      <c r="K59" s="398">
        <f t="shared" si="1"/>
        <v>2.6318262784856125E-3</v>
      </c>
      <c r="L59" s="206"/>
      <c r="M59" s="97"/>
      <c r="N59" s="372"/>
    </row>
    <row r="60" spans="1:14" s="179" customFormat="1">
      <c r="A60" s="397" t="s">
        <v>157</v>
      </c>
      <c r="B60" s="168"/>
      <c r="C60" s="360" t="s">
        <v>291</v>
      </c>
      <c r="D60" s="168"/>
      <c r="E60" s="92">
        <f>VLOOKUP(A60,'سود اوراق بهادار و سپرده بانکی'!$A$7:$Q$91,11,0)</f>
        <v>0</v>
      </c>
      <c r="F60" s="168"/>
      <c r="G60" s="398">
        <f t="shared" si="0"/>
        <v>0</v>
      </c>
      <c r="H60" s="168"/>
      <c r="I60" s="92">
        <f>VLOOKUP(A60,'سود اوراق بهادار و سپرده بانکی'!$A$7:$Q$91,17,0)</f>
        <v>501780820.67307693</v>
      </c>
      <c r="J60" s="168"/>
      <c r="K60" s="398">
        <f t="shared" si="1"/>
        <v>2.2408163169106328E-3</v>
      </c>
      <c r="L60" s="206"/>
      <c r="M60" s="97"/>
      <c r="N60" s="372"/>
    </row>
    <row r="61" spans="1:14" s="179" customFormat="1">
      <c r="A61" s="397" t="s">
        <v>158</v>
      </c>
      <c r="B61" s="168"/>
      <c r="C61" s="360" t="s">
        <v>292</v>
      </c>
      <c r="D61" s="168"/>
      <c r="E61" s="92">
        <f>VLOOKUP(A61,'سود اوراق بهادار و سپرده بانکی'!$A$7:$Q$91,11,0)</f>
        <v>0</v>
      </c>
      <c r="F61" s="168"/>
      <c r="G61" s="398">
        <f t="shared" si="0"/>
        <v>0</v>
      </c>
      <c r="H61" s="168"/>
      <c r="I61" s="92">
        <f>VLOOKUP(A61,'سود اوراق بهادار و سپرده بانکی'!$A$7:$Q$91,17,0)</f>
        <v>288095546.25</v>
      </c>
      <c r="J61" s="168"/>
      <c r="K61" s="398">
        <f t="shared" si="1"/>
        <v>1.2865561501540267E-3</v>
      </c>
      <c r="L61" s="206"/>
      <c r="M61" s="97"/>
      <c r="N61" s="372"/>
    </row>
    <row r="62" spans="1:14" s="179" customFormat="1">
      <c r="A62" s="397" t="s">
        <v>124</v>
      </c>
      <c r="B62" s="168"/>
      <c r="C62" s="360" t="s">
        <v>127</v>
      </c>
      <c r="D62" s="168"/>
      <c r="E62" s="92">
        <f>VLOOKUP(A62,'سود اوراق بهادار و سپرده بانکی'!$A$7:$Q$91,11,0)</f>
        <v>0</v>
      </c>
      <c r="F62" s="168"/>
      <c r="G62" s="398">
        <f t="shared" si="0"/>
        <v>0</v>
      </c>
      <c r="H62" s="168"/>
      <c r="I62" s="92">
        <f>VLOOKUP(A62,'سود اوراق بهادار و سپرده بانکی'!$A$7:$Q$91,17,0)</f>
        <v>370738455.65217388</v>
      </c>
      <c r="J62" s="168"/>
      <c r="K62" s="398">
        <f t="shared" si="1"/>
        <v>1.6556168480438983E-3</v>
      </c>
      <c r="L62" s="206"/>
      <c r="M62" s="97"/>
      <c r="N62" s="372"/>
    </row>
    <row r="63" spans="1:14" s="179" customFormat="1">
      <c r="A63" s="397" t="s">
        <v>125</v>
      </c>
      <c r="B63" s="168"/>
      <c r="C63" s="360" t="s">
        <v>128</v>
      </c>
      <c r="D63" s="168"/>
      <c r="E63" s="92">
        <f>VLOOKUP(A63,'سود اوراق بهادار و سپرده بانکی'!$A$7:$Q$91,11,0)</f>
        <v>0</v>
      </c>
      <c r="F63" s="168"/>
      <c r="G63" s="398">
        <f t="shared" si="0"/>
        <v>0</v>
      </c>
      <c r="H63" s="168"/>
      <c r="I63" s="92">
        <f>VLOOKUP(A63,'سود اوراق بهادار و سپرده بانکی'!$A$7:$Q$91,17,0)</f>
        <v>22522124865.9375</v>
      </c>
      <c r="J63" s="168"/>
      <c r="K63" s="398">
        <f t="shared" si="1"/>
        <v>0.10057766820061982</v>
      </c>
      <c r="L63" s="206"/>
      <c r="M63" s="97"/>
      <c r="N63" s="372"/>
    </row>
    <row r="64" spans="1:14" s="179" customFormat="1">
      <c r="A64" s="397" t="s">
        <v>126</v>
      </c>
      <c r="B64" s="168"/>
      <c r="C64" s="360" t="s">
        <v>129</v>
      </c>
      <c r="D64" s="168"/>
      <c r="E64" s="92">
        <f>VLOOKUP(A64,'سود اوراق بهادار و سپرده بانکی'!$A$7:$Q$91,11,0)</f>
        <v>0</v>
      </c>
      <c r="F64" s="168"/>
      <c r="G64" s="398">
        <f t="shared" si="0"/>
        <v>0</v>
      </c>
      <c r="H64" s="168"/>
      <c r="I64" s="92">
        <f>VLOOKUP(A64,'سود اوراق بهادار و سپرده بانکی'!$A$7:$Q$91,17,0)</f>
        <v>14825856164.0625</v>
      </c>
      <c r="J64" s="168"/>
      <c r="K64" s="398">
        <f t="shared" si="1"/>
        <v>6.6208230836798623E-2</v>
      </c>
      <c r="L64" s="206"/>
      <c r="M64" s="97"/>
      <c r="N64" s="372"/>
    </row>
    <row r="65" spans="1:14" s="179" customFormat="1">
      <c r="A65" s="397" t="s">
        <v>160</v>
      </c>
      <c r="B65" s="168"/>
      <c r="C65" s="360" t="s">
        <v>165</v>
      </c>
      <c r="D65" s="168"/>
      <c r="E65" s="92">
        <f>VLOOKUP(A65,'سود اوراق بهادار و سپرده بانکی'!$A$7:$Q$91,11,0)</f>
        <v>0</v>
      </c>
      <c r="F65" s="168"/>
      <c r="G65" s="398">
        <f t="shared" si="0"/>
        <v>0</v>
      </c>
      <c r="H65" s="168"/>
      <c r="I65" s="92">
        <f>VLOOKUP(A65,'سود اوراق بهادار و سپرده بانکی'!$A$7:$Q$91,17,0)</f>
        <v>2270130563.4375</v>
      </c>
      <c r="J65" s="168"/>
      <c r="K65" s="398">
        <f t="shared" si="1"/>
        <v>1.0137784065251378E-2</v>
      </c>
      <c r="L65" s="206"/>
      <c r="M65" s="97"/>
      <c r="N65" s="372"/>
    </row>
    <row r="66" spans="1:14" s="179" customFormat="1">
      <c r="A66" s="397" t="s">
        <v>161</v>
      </c>
      <c r="B66" s="168"/>
      <c r="C66" s="360" t="s">
        <v>166</v>
      </c>
      <c r="D66" s="168"/>
      <c r="E66" s="92">
        <f>VLOOKUP(A66,'سود اوراق بهادار و سپرده بانکی'!$A$7:$Q$91,11,0)</f>
        <v>0</v>
      </c>
      <c r="F66" s="168"/>
      <c r="G66" s="398">
        <f t="shared" si="0"/>
        <v>0</v>
      </c>
      <c r="H66" s="168"/>
      <c r="I66" s="92">
        <f>VLOOKUP(A66,'سود اوراق بهادار و سپرده بانکی'!$A$7:$Q$91,17,0)</f>
        <v>6453823560.9375</v>
      </c>
      <c r="J66" s="168"/>
      <c r="K66" s="398">
        <f t="shared" si="1"/>
        <v>2.8821016160825504E-2</v>
      </c>
      <c r="L66" s="206"/>
      <c r="M66" s="97"/>
      <c r="N66" s="372"/>
    </row>
    <row r="67" spans="1:14" s="179" customFormat="1">
      <c r="A67" s="397" t="s">
        <v>162</v>
      </c>
      <c r="B67" s="168"/>
      <c r="C67" s="360" t="s">
        <v>167</v>
      </c>
      <c r="D67" s="168"/>
      <c r="E67" s="92">
        <f>VLOOKUP(A67,'سود اوراق بهادار و سپرده بانکی'!$A$7:$Q$91,11,0)</f>
        <v>0</v>
      </c>
      <c r="F67" s="168"/>
      <c r="G67" s="398">
        <f t="shared" si="0"/>
        <v>0</v>
      </c>
      <c r="H67" s="168"/>
      <c r="I67" s="92">
        <f>VLOOKUP(A67,'سود اوراق بهادار و سپرده بانکی'!$A$7:$Q$91,17,0)</f>
        <v>246193534.68750003</v>
      </c>
      <c r="J67" s="168"/>
      <c r="K67" s="398">
        <f t="shared" si="1"/>
        <v>1.0994331925752976E-3</v>
      </c>
      <c r="L67" s="206"/>
      <c r="M67" s="97"/>
      <c r="N67" s="372"/>
    </row>
    <row r="68" spans="1:14" s="179" customFormat="1">
      <c r="A68" s="397" t="s">
        <v>163</v>
      </c>
      <c r="B68" s="168"/>
      <c r="C68" s="360" t="s">
        <v>168</v>
      </c>
      <c r="D68" s="168"/>
      <c r="E68" s="92">
        <f>VLOOKUP(A68,'سود اوراق بهادار و سپرده بانکی'!$A$7:$Q$91,11,0)</f>
        <v>0</v>
      </c>
      <c r="F68" s="168"/>
      <c r="G68" s="398">
        <f t="shared" si="0"/>
        <v>0</v>
      </c>
      <c r="H68" s="168"/>
      <c r="I68" s="92">
        <f>VLOOKUP(A68,'سود اوراق بهادار و سپرده بانکی'!$A$7:$Q$91,17,0)</f>
        <v>1712689520.4000001</v>
      </c>
      <c r="J68" s="168"/>
      <c r="K68" s="398">
        <f t="shared" si="1"/>
        <v>7.6484043729814176E-3</v>
      </c>
      <c r="L68" s="206"/>
      <c r="M68" s="97"/>
      <c r="N68" s="372"/>
    </row>
    <row r="69" spans="1:14" s="179" customFormat="1">
      <c r="A69" s="397" t="s">
        <v>114</v>
      </c>
      <c r="B69" s="168"/>
      <c r="C69" s="360" t="s">
        <v>117</v>
      </c>
      <c r="D69" s="168"/>
      <c r="E69" s="92">
        <f>VLOOKUP(A69,'سود اوراق بهادار و سپرده بانکی'!$A$7:$Q$91,11,0)</f>
        <v>0</v>
      </c>
      <c r="F69" s="168"/>
      <c r="G69" s="398">
        <f t="shared" si="0"/>
        <v>0</v>
      </c>
      <c r="H69" s="168"/>
      <c r="I69" s="92">
        <f>VLOOKUP(A69,'سود اوراق بهادار و سپرده بانکی'!$A$7:$Q$91,17,0)</f>
        <v>1023634809.7826086</v>
      </c>
      <c r="J69" s="168"/>
      <c r="K69" s="398">
        <f t="shared" si="1"/>
        <v>4.5712739304020469E-3</v>
      </c>
      <c r="L69" s="206"/>
      <c r="M69" s="97"/>
      <c r="N69" s="372"/>
    </row>
    <row r="70" spans="1:14" s="179" customFormat="1">
      <c r="A70" s="397" t="s">
        <v>267</v>
      </c>
      <c r="B70" s="168"/>
      <c r="C70" s="360" t="s">
        <v>294</v>
      </c>
      <c r="D70" s="168"/>
      <c r="E70" s="92">
        <f>VLOOKUP(A70,'سود اوراق بهادار و سپرده بانکی'!$A$7:$Q$91,11,0)</f>
        <v>4614631675.6153851</v>
      </c>
      <c r="F70" s="168"/>
      <c r="G70" s="398">
        <f t="shared" si="0"/>
        <v>0.1659927931427565</v>
      </c>
      <c r="H70" s="168"/>
      <c r="I70" s="92">
        <f>VLOOKUP(A70,'سود اوراق بهادار و سپرده بانکی'!$A$7:$Q$91,17,0)</f>
        <v>4614631675.6153851</v>
      </c>
      <c r="J70" s="168"/>
      <c r="K70" s="398">
        <f t="shared" si="1"/>
        <v>2.0607686721427595E-2</v>
      </c>
      <c r="L70" s="206"/>
      <c r="M70" s="97"/>
      <c r="N70" s="372"/>
    </row>
    <row r="71" spans="1:14" s="179" customFormat="1">
      <c r="A71" s="397" t="s">
        <v>225</v>
      </c>
      <c r="B71" s="168"/>
      <c r="C71" s="360" t="s">
        <v>107</v>
      </c>
      <c r="D71" s="168"/>
      <c r="E71" s="92">
        <f>VLOOKUP(A71,'سود اوراق بهادار و سپرده بانکی'!$A$7:$Q$91,11,0)</f>
        <v>9923</v>
      </c>
      <c r="F71" s="168"/>
      <c r="G71" s="398">
        <f t="shared" si="0"/>
        <v>3.5693996880821852E-7</v>
      </c>
      <c r="H71" s="168"/>
      <c r="I71" s="92">
        <f>VLOOKUP(A71,'سود اوراق بهادار و سپرده بانکی'!$A$7:$Q$91,17,0)</f>
        <v>95844</v>
      </c>
      <c r="J71" s="168"/>
      <c r="K71" s="398">
        <f t="shared" si="1"/>
        <v>4.280131687574206E-7</v>
      </c>
      <c r="L71" s="206"/>
      <c r="M71" s="97"/>
      <c r="N71" s="372"/>
    </row>
    <row r="72" spans="1:14" s="179" customFormat="1">
      <c r="A72" s="397" t="s">
        <v>227</v>
      </c>
      <c r="B72" s="168"/>
      <c r="C72" s="360" t="s">
        <v>170</v>
      </c>
      <c r="D72" s="168"/>
      <c r="E72" s="92">
        <f>VLOOKUP(A72,'سود اوراق بهادار و سپرده بانکی'!$A$7:$Q$91,11,0)</f>
        <v>0</v>
      </c>
      <c r="F72" s="168"/>
      <c r="G72" s="398">
        <f t="shared" si="0"/>
        <v>0</v>
      </c>
      <c r="H72" s="168"/>
      <c r="I72" s="92">
        <f>VLOOKUP(A72,'سود اوراق بهادار و سپرده بانکی'!$A$7:$Q$91,17,0)</f>
        <v>29740</v>
      </c>
      <c r="J72" s="168"/>
      <c r="K72" s="398">
        <f t="shared" si="1"/>
        <v>1.3281073034144744E-7</v>
      </c>
      <c r="L72" s="206"/>
      <c r="M72" s="97"/>
      <c r="N72" s="372"/>
    </row>
    <row r="73" spans="1:14" s="179" customFormat="1">
      <c r="A73" s="397" t="s">
        <v>222</v>
      </c>
      <c r="B73" s="168"/>
      <c r="C73" s="360" t="s">
        <v>296</v>
      </c>
      <c r="D73" s="168"/>
      <c r="E73" s="92">
        <f>VLOOKUP(A73,'سود اوراق بهادار و سپرده بانکی'!$A$7:$Q$91,11,0)</f>
        <v>907027404.23076916</v>
      </c>
      <c r="F73" s="168"/>
      <c r="G73" s="398">
        <f t="shared" ref="G73:G83" si="2">E73/$E$84</f>
        <v>3.262665860872016E-2</v>
      </c>
      <c r="H73" s="168"/>
      <c r="I73" s="92">
        <f>VLOOKUP(A73,'سود اوراق بهادار و سپرده بانکی'!$A$7:$Q$91,17,0)</f>
        <v>1616159389.2692306</v>
      </c>
      <c r="J73" s="168"/>
      <c r="K73" s="398">
        <f t="shared" ref="K73:K83" si="3">I73/$I$84</f>
        <v>7.2173271296918015E-3</v>
      </c>
      <c r="L73" s="206"/>
      <c r="M73" s="97"/>
      <c r="N73" s="372"/>
    </row>
    <row r="74" spans="1:14" s="179" customFormat="1">
      <c r="A74" s="397" t="s">
        <v>184</v>
      </c>
      <c r="B74" s="168"/>
      <c r="C74" s="360" t="s">
        <v>200</v>
      </c>
      <c r="D74" s="168"/>
      <c r="E74" s="92">
        <f>VLOOKUP(A74,'سود اوراق بهادار و سپرده بانکی'!$A$7:$Q$91,11,0)</f>
        <v>2646641088.1730771</v>
      </c>
      <c r="F74" s="168"/>
      <c r="G74" s="398">
        <f t="shared" si="2"/>
        <v>9.5202256118013473E-2</v>
      </c>
      <c r="H74" s="168"/>
      <c r="I74" s="92">
        <f>VLOOKUP(A74,'سود اوراق بهادار و سپرده بانکی'!$A$7:$Q$91,17,0)</f>
        <v>9981114469.6346149</v>
      </c>
      <c r="J74" s="168"/>
      <c r="K74" s="398">
        <f t="shared" si="3"/>
        <v>4.4572935518956358E-2</v>
      </c>
      <c r="L74" s="206"/>
      <c r="M74" s="97"/>
      <c r="N74" s="372"/>
    </row>
    <row r="75" spans="1:14" s="179" customFormat="1">
      <c r="A75" s="397" t="s">
        <v>195</v>
      </c>
      <c r="B75" s="168"/>
      <c r="C75" s="360" t="s">
        <v>201</v>
      </c>
      <c r="D75" s="168"/>
      <c r="E75" s="92">
        <f>VLOOKUP(A75,'سود اوراق بهادار و سپرده بانکی'!$A$7:$Q$91,11,0)</f>
        <v>414246565.38461536</v>
      </c>
      <c r="F75" s="168"/>
      <c r="G75" s="398">
        <f t="shared" si="2"/>
        <v>1.4900852174473069E-2</v>
      </c>
      <c r="H75" s="168"/>
      <c r="I75" s="92">
        <f>VLOOKUP(A75,'سود اوراق بهادار و سپرده بانکی'!$A$7:$Q$91,17,0)</f>
        <v>1137117890.8076923</v>
      </c>
      <c r="J75" s="168"/>
      <c r="K75" s="398">
        <f t="shared" si="3"/>
        <v>5.0780584251007366E-3</v>
      </c>
      <c r="L75" s="206"/>
      <c r="M75" s="97"/>
      <c r="N75" s="372"/>
    </row>
    <row r="76" spans="1:14" s="179" customFormat="1">
      <c r="A76" s="397" t="s">
        <v>194</v>
      </c>
      <c r="B76" s="168"/>
      <c r="C76" s="360" t="s">
        <v>202</v>
      </c>
      <c r="D76" s="168"/>
      <c r="E76" s="92">
        <f>VLOOKUP(A76,'سود اوراق بهادار و سپرده بانکی'!$A$7:$Q$91,11,0)</f>
        <v>222881908.84615386</v>
      </c>
      <c r="F76" s="168"/>
      <c r="G76" s="398">
        <f t="shared" si="2"/>
        <v>8.0172792090559674E-3</v>
      </c>
      <c r="H76" s="168"/>
      <c r="I76" s="92">
        <f>VLOOKUP(A76,'سود اوراق بهادار و سپرده بانکی'!$A$7:$Q$91,17,0)</f>
        <v>554308827.11538458</v>
      </c>
      <c r="J76" s="168"/>
      <c r="K76" s="398">
        <f t="shared" si="3"/>
        <v>2.4753920700707919E-3</v>
      </c>
      <c r="L76" s="206"/>
      <c r="M76" s="97"/>
      <c r="N76" s="372"/>
    </row>
    <row r="77" spans="1:14" s="179" customFormat="1">
      <c r="A77" s="397" t="s">
        <v>221</v>
      </c>
      <c r="B77" s="168"/>
      <c r="C77" s="360">
        <v>5600931334017</v>
      </c>
      <c r="D77" s="168"/>
      <c r="E77" s="92">
        <f>VLOOKUP(A77,'سود اوراق بهادار و سپرده بانکی'!$A$7:$Q$91,11,0)</f>
        <v>374030127.69230771</v>
      </c>
      <c r="F77" s="168"/>
      <c r="G77" s="398">
        <f t="shared" si="2"/>
        <v>1.3454227764972923E-2</v>
      </c>
      <c r="H77" s="168"/>
      <c r="I77" s="92">
        <f>VLOOKUP(A77,'سود اوراق بهادار و سپرده بانکی'!$A$7:$Q$91,17,0)</f>
        <v>768503681.07692313</v>
      </c>
      <c r="J77" s="168"/>
      <c r="K77" s="398">
        <f t="shared" si="3"/>
        <v>3.4319278800913574E-3</v>
      </c>
      <c r="L77" s="206"/>
      <c r="M77" s="97"/>
      <c r="N77" s="372"/>
    </row>
    <row r="78" spans="1:14" s="179" customFormat="1">
      <c r="A78" s="397" t="s">
        <v>223</v>
      </c>
      <c r="B78" s="168"/>
      <c r="C78" s="360" t="s">
        <v>298</v>
      </c>
      <c r="D78" s="168"/>
      <c r="E78" s="92">
        <f>VLOOKUP(A78,'سود اوراق بهادار و سپرده بانکی'!$A$7:$Q$91,11,0)</f>
        <v>522712665.76923072</v>
      </c>
      <c r="F78" s="168"/>
      <c r="G78" s="398">
        <f t="shared" si="2"/>
        <v>1.8802483383586616E-2</v>
      </c>
      <c r="H78" s="168"/>
      <c r="I78" s="92">
        <f>VLOOKUP(A78,'سود اوراق بهادار و سپرده بانکی'!$A$7:$Q$91,17,0)</f>
        <v>1026787125.9038461</v>
      </c>
      <c r="J78" s="168"/>
      <c r="K78" s="398">
        <f t="shared" si="3"/>
        <v>4.5853513146094675E-3</v>
      </c>
      <c r="L78" s="206"/>
      <c r="M78" s="97"/>
      <c r="N78" s="372"/>
    </row>
    <row r="79" spans="1:14" s="179" customFormat="1">
      <c r="A79" s="397" t="s">
        <v>224</v>
      </c>
      <c r="B79" s="168"/>
      <c r="C79" s="360" t="s">
        <v>299</v>
      </c>
      <c r="D79" s="168"/>
      <c r="E79" s="92">
        <f>VLOOKUP(A79,'سود اوراق بهادار و سپرده بانکی'!$A$7:$Q$91,11,0)</f>
        <v>1050856562</v>
      </c>
      <c r="F79" s="168"/>
      <c r="G79" s="398">
        <f t="shared" si="2"/>
        <v>3.7800333413503154E-2</v>
      </c>
      <c r="H79" s="168"/>
      <c r="I79" s="92">
        <f>VLOOKUP(A79,'سود اوراق بهادار و سپرده بانکی'!$A$7:$Q$91,17,0)</f>
        <v>1050856562</v>
      </c>
      <c r="J79" s="168"/>
      <c r="K79" s="398">
        <f t="shared" si="3"/>
        <v>4.6928388528353245E-3</v>
      </c>
      <c r="L79" s="206"/>
      <c r="M79" s="97"/>
      <c r="N79" s="372"/>
    </row>
    <row r="80" spans="1:14" s="179" customFormat="1">
      <c r="A80" s="397" t="s">
        <v>269</v>
      </c>
      <c r="B80" s="168"/>
      <c r="C80" s="360" t="s">
        <v>300</v>
      </c>
      <c r="D80" s="168"/>
      <c r="E80" s="92">
        <f>VLOOKUP(A80,'سود اوراق بهادار و سپرده بانکی'!$A$7:$Q$91,11,0)</f>
        <v>165663074.05769232</v>
      </c>
      <c r="F80" s="168"/>
      <c r="G80" s="398">
        <f t="shared" si="2"/>
        <v>5.9590620262850238E-3</v>
      </c>
      <c r="H80" s="168"/>
      <c r="I80" s="92">
        <f>VLOOKUP(A80,'سود اوراق بهادار و سپرده بانکی'!$A$7:$Q$91,17,0)</f>
        <v>165663074.05769232</v>
      </c>
      <c r="J80" s="168"/>
      <c r="K80" s="398">
        <f t="shared" si="3"/>
        <v>7.3980611486924722E-4</v>
      </c>
      <c r="L80" s="206"/>
      <c r="M80" s="97"/>
      <c r="N80" s="372"/>
    </row>
    <row r="81" spans="1:14" s="179" customFormat="1">
      <c r="A81" s="397" t="s">
        <v>266</v>
      </c>
      <c r="B81" s="168"/>
      <c r="C81" s="360" t="s">
        <v>301</v>
      </c>
      <c r="D81" s="168"/>
      <c r="E81" s="92">
        <f>VLOOKUP(A81,'سود اوراق بهادار و سپرده بانکی'!$A$7:$Q$91,11,0)</f>
        <v>79788012.538461536</v>
      </c>
      <c r="F81" s="168"/>
      <c r="G81" s="398">
        <f t="shared" si="2"/>
        <v>2.8700524747302439E-3</v>
      </c>
      <c r="H81" s="168"/>
      <c r="I81" s="92">
        <f>VLOOKUP(A81,'سود اوراق بهادار و سپرده بانکی'!$A$7:$Q$91,17,0)</f>
        <v>79788012.538461536</v>
      </c>
      <c r="J81" s="168"/>
      <c r="K81" s="398">
        <f t="shared" si="3"/>
        <v>3.5631150698472238E-4</v>
      </c>
      <c r="L81" s="206"/>
      <c r="M81" s="97"/>
      <c r="N81" s="372"/>
    </row>
    <row r="82" spans="1:14" s="179" customFormat="1">
      <c r="A82" s="397" t="s">
        <v>185</v>
      </c>
      <c r="B82" s="168"/>
      <c r="C82" s="360" t="s">
        <v>203</v>
      </c>
      <c r="D82" s="168"/>
      <c r="E82" s="92">
        <f>VLOOKUP(A82,'سود اوراق بهادار و سپرده بانکی'!$A$7:$Q$91,11,0)</f>
        <v>993575693</v>
      </c>
      <c r="F82" s="168"/>
      <c r="G82" s="398">
        <f t="shared" si="2"/>
        <v>3.573988479976057E-2</v>
      </c>
      <c r="H82" s="168"/>
      <c r="I82" s="92">
        <f>VLOOKUP(A82,'سود اوراق بهادار و سپرده بانکی'!$A$7:$Q$91,17,0)</f>
        <v>2551135841</v>
      </c>
      <c r="J82" s="168"/>
      <c r="K82" s="398">
        <f t="shared" si="3"/>
        <v>1.1392677008858532E-2</v>
      </c>
      <c r="L82" s="206"/>
      <c r="M82" s="97"/>
      <c r="N82" s="372"/>
    </row>
    <row r="83" spans="1:14" s="179" customFormat="1" ht="22.5" thickBot="1">
      <c r="A83" s="397" t="s">
        <v>228</v>
      </c>
      <c r="B83" s="168"/>
      <c r="C83" s="360" t="s">
        <v>109</v>
      </c>
      <c r="D83" s="168"/>
      <c r="E83" s="92">
        <f>VLOOKUP(A83,'سود اوراق بهادار و سپرده بانکی'!$A$7:$Q$91,11,0)</f>
        <v>2378</v>
      </c>
      <c r="F83" s="168"/>
      <c r="G83" s="398">
        <f t="shared" si="2"/>
        <v>8.553897468768958E-8</v>
      </c>
      <c r="H83" s="168"/>
      <c r="I83" s="92">
        <f>VLOOKUP(A83,'سود اوراق بهادار و سپرده بانکی'!$A$7:$Q$91,17,0)</f>
        <v>47172</v>
      </c>
      <c r="J83" s="168"/>
      <c r="K83" s="398">
        <f t="shared" si="3"/>
        <v>2.1065728889262809E-7</v>
      </c>
      <c r="L83" s="206"/>
      <c r="M83" s="97"/>
      <c r="N83" s="372"/>
    </row>
    <row r="84" spans="1:14" s="179" customFormat="1" ht="22.5" thickBot="1">
      <c r="A84" s="180" t="s">
        <v>2</v>
      </c>
      <c r="B84" s="393"/>
      <c r="D84" s="180"/>
      <c r="E84" s="399">
        <f>SUM(E8:E83)</f>
        <v>27800192937.573662</v>
      </c>
      <c r="F84" s="168"/>
      <c r="G84" s="181">
        <f>SUM(G8:G83)</f>
        <v>0.99999999999999989</v>
      </c>
      <c r="H84" s="168"/>
      <c r="I84" s="399">
        <f>SUM(I8:I83)</f>
        <v>223927689604.14917</v>
      </c>
      <c r="J84" s="168"/>
      <c r="K84" s="181">
        <f>SUM(K8:K83)</f>
        <v>1.0000000000000002</v>
      </c>
      <c r="L84" s="206"/>
      <c r="M84" s="372"/>
    </row>
    <row r="85" spans="1:14" s="179" customFormat="1" ht="22.5" thickTop="1">
      <c r="E85" s="97"/>
      <c r="F85" s="168"/>
      <c r="G85" s="97"/>
      <c r="H85" s="168"/>
      <c r="I85" s="97"/>
      <c r="J85" s="168"/>
    </row>
    <row r="86" spans="1:14" s="179" customFormat="1">
      <c r="E86" s="144"/>
      <c r="F86" s="97"/>
      <c r="G86" s="97"/>
      <c r="H86" s="97"/>
      <c r="I86" s="97"/>
    </row>
    <row r="87" spans="1:14" s="179" customFormat="1">
      <c r="E87" s="145"/>
      <c r="F87" s="97"/>
      <c r="G87" s="97"/>
      <c r="H87" s="97"/>
      <c r="I87" s="96"/>
    </row>
    <row r="88" spans="1:14" s="179" customFormat="1">
      <c r="E88" s="155"/>
      <c r="F88" s="97"/>
      <c r="G88" s="97"/>
      <c r="H88" s="97"/>
      <c r="I88" s="155"/>
    </row>
  </sheetData>
  <autoFilter ref="A7:L7" xr:uid="{00000000-0009-0000-0000-00000C000000}">
    <sortState xmlns:xlrd2="http://schemas.microsoft.com/office/spreadsheetml/2017/richdata2" ref="A8:L40">
      <sortCondition sortBy="cellColor" ref="I8:I40" dxfId="3"/>
      <sortCondition sortBy="cellColor" ref="E8:E40" dxfId="2"/>
      <sortCondition sortBy="cellColor" ref="E8:E40" dxfId="1"/>
      <sortCondition descending="1" sortBy="cellColor" ref="E8:E40" dxfId="0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8" type="noConversion"/>
  <pageMargins left="0.7" right="0.7" top="0.75" bottom="0.75" header="0.3" footer="0.3"/>
  <pageSetup paperSize="9" scale="2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23"/>
  <sheetViews>
    <sheetView rightToLeft="1" view="pageBreakPreview" zoomScaleNormal="100" zoomScaleSheetLayoutView="100" workbookViewId="0">
      <selection activeCell="E9" sqref="E9"/>
    </sheetView>
  </sheetViews>
  <sheetFormatPr defaultColWidth="9.140625" defaultRowHeight="18"/>
  <cols>
    <col min="1" max="1" width="32.42578125" style="171" customWidth="1"/>
    <col min="2" max="2" width="1.42578125" style="171" customWidth="1"/>
    <col min="3" max="3" width="17.7109375" style="171" bestFit="1" customWidth="1"/>
    <col min="4" max="4" width="0.85546875" style="171" customWidth="1"/>
    <col min="5" max="5" width="18.140625" style="171" customWidth="1"/>
    <col min="6" max="6" width="16.5703125" style="171" customWidth="1"/>
    <col min="7" max="16384" width="9.140625" style="171"/>
  </cols>
  <sheetData>
    <row r="1" spans="1:5" s="182" customFormat="1" ht="18.75">
      <c r="A1" s="265" t="s">
        <v>89</v>
      </c>
      <c r="B1" s="265"/>
      <c r="C1" s="265"/>
      <c r="D1" s="265"/>
      <c r="E1" s="265"/>
    </row>
    <row r="2" spans="1:5" s="182" customFormat="1" ht="18.75">
      <c r="A2" s="265" t="s">
        <v>56</v>
      </c>
      <c r="B2" s="265"/>
      <c r="C2" s="265"/>
      <c r="D2" s="265"/>
      <c r="E2" s="265"/>
    </row>
    <row r="3" spans="1:5" s="182" customFormat="1" ht="18.75">
      <c r="A3" s="265" t="str">
        <f>' سهام'!A3:W3</f>
        <v>برای ماه منتهی به 1402/06/31</v>
      </c>
      <c r="B3" s="265"/>
      <c r="C3" s="265"/>
      <c r="D3" s="265"/>
      <c r="E3" s="265"/>
    </row>
    <row r="4" spans="1:5" ht="18.75">
      <c r="A4" s="244" t="s">
        <v>31</v>
      </c>
      <c r="B4" s="244"/>
      <c r="C4" s="244"/>
      <c r="D4" s="244"/>
      <c r="E4" s="244"/>
    </row>
    <row r="5" spans="1:5" ht="49.5" customHeight="1" thickBot="1">
      <c r="A5" s="183"/>
      <c r="B5" s="184"/>
      <c r="C5" s="205" t="s">
        <v>241</v>
      </c>
      <c r="D5" s="206"/>
      <c r="E5" s="205" t="s">
        <v>243</v>
      </c>
    </row>
    <row r="6" spans="1:5" ht="18.75">
      <c r="A6" s="268"/>
      <c r="B6" s="269"/>
      <c r="C6" s="266" t="s">
        <v>6</v>
      </c>
      <c r="D6" s="185"/>
      <c r="E6" s="266" t="s">
        <v>6</v>
      </c>
    </row>
    <row r="7" spans="1:5" ht="18.75" thickBot="1">
      <c r="A7" s="269"/>
      <c r="B7" s="269"/>
      <c r="C7" s="267"/>
      <c r="D7" s="186"/>
      <c r="E7" s="267"/>
    </row>
    <row r="8" spans="1:5" ht="25.9" customHeight="1">
      <c r="A8" s="187" t="s">
        <v>32</v>
      </c>
      <c r="B8" s="168"/>
      <c r="C8" s="156">
        <v>0</v>
      </c>
      <c r="D8" s="92"/>
      <c r="E8" s="92">
        <v>476</v>
      </c>
    </row>
    <row r="9" spans="1:5" ht="25.9" customHeight="1">
      <c r="A9" s="187" t="s">
        <v>303</v>
      </c>
      <c r="B9" s="168"/>
      <c r="C9" s="156">
        <v>0</v>
      </c>
      <c r="D9" s="92"/>
      <c r="E9" s="92">
        <v>3296424</v>
      </c>
    </row>
    <row r="10" spans="1:5" ht="18.75" thickBot="1">
      <c r="A10" s="188" t="s">
        <v>2</v>
      </c>
      <c r="B10" s="206"/>
      <c r="C10" s="400">
        <f>SUM(C8:C9)</f>
        <v>0</v>
      </c>
      <c r="D10" s="92"/>
      <c r="E10" s="401">
        <f>SUM(E8:E9)</f>
        <v>3296900</v>
      </c>
    </row>
    <row r="11" spans="1:5" ht="18.75" thickTop="1">
      <c r="D11" s="92"/>
    </row>
    <row r="12" spans="1:5">
      <c r="D12" s="92"/>
    </row>
    <row r="13" spans="1:5">
      <c r="E13" s="189"/>
    </row>
    <row r="15" spans="1:5">
      <c r="C15" s="189"/>
      <c r="E15" s="190"/>
    </row>
    <row r="17" spans="6:15">
      <c r="F17" s="178"/>
    </row>
    <row r="19" spans="6:15">
      <c r="N19" s="190"/>
      <c r="O19" s="178"/>
    </row>
    <row r="20" spans="6:15">
      <c r="F20" s="178"/>
      <c r="G20" s="190"/>
    </row>
    <row r="23" spans="6:15">
      <c r="F23" s="178"/>
      <c r="G23" s="190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Sadaf Najiun</cp:lastModifiedBy>
  <cp:lastPrinted>2019-05-29T09:35:10Z</cp:lastPrinted>
  <dcterms:created xsi:type="dcterms:W3CDTF">2017-11-22T14:26:20Z</dcterms:created>
  <dcterms:modified xsi:type="dcterms:W3CDTF">2023-10-02T13:40:27Z</dcterms:modified>
</cp:coreProperties>
</file>