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X:\fund\7 صندوق ندای ثابت کیان\گزارش ماهانه\1402\09\"/>
    </mc:Choice>
  </mc:AlternateContent>
  <xr:revisionPtr revIDLastSave="0" documentId="13_ncr:1_{41F151A7-20A3-42B1-B9D2-05C089D78A94}" xr6:coauthVersionLast="47" xr6:coauthVersionMax="47" xr10:uidLastSave="{00000000-0000-0000-0000-000000000000}"/>
  <bookViews>
    <workbookView xWindow="-120" yWindow="-120" windowWidth="24240" windowHeight="13140" tabRatio="875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درآمد سود سهام" sheetId="18" r:id="rId7"/>
    <sheet name="سود اوراق بهادار و سپرده بانکی" sheetId="13" r:id="rId8"/>
    <sheet name="درآمد ناشی ازفروش" sheetId="15" r:id="rId9"/>
    <sheet name="درآمد ناشی از تغییر قیمت اوراق " sheetId="14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definedNames>
    <definedName name="_xlnm._FilterDatabase" localSheetId="1" hidden="1">' سهام'!$A$9:$W$9</definedName>
    <definedName name="_xlnm._FilterDatabase" localSheetId="12" hidden="1">'درآمد سپرده بانکی'!$A$7:$L$7</definedName>
    <definedName name="_xlnm._FilterDatabase" localSheetId="11" hidden="1">'درآمد سرمایه گذاری در اوراق بها'!$A$9:$Q$9</definedName>
    <definedName name="_xlnm._FilterDatabase" localSheetId="10" hidden="1">'درآمد سرمایه گذاری در سهام '!$A$10:$U$10</definedName>
    <definedName name="_xlnm._FilterDatabase" localSheetId="6" hidden="1">'درآمد سود سهام'!$A$7:$S$7</definedName>
    <definedName name="_xlnm._FilterDatabase" localSheetId="9" hidden="1">'درآمد ناشی از تغییر قیمت اوراق '!$A$6:$Q$6</definedName>
    <definedName name="_xlnm._FilterDatabase" localSheetId="8" hidden="1">'درآمد ناشی ازفروش'!$A$6:$Q$6</definedName>
    <definedName name="_xlnm._FilterDatabase" localSheetId="4" hidden="1">سپرده!$A$8:$S$41</definedName>
    <definedName name="_xlnm._FilterDatabase" localSheetId="7" hidden="1">'سود اوراق بهادار و سپرده بانکی'!$A$6:$Q$116</definedName>
    <definedName name="A">'سود اوراق بهادار و سپرده بانکی'!$A$7:$Q$117</definedName>
    <definedName name="_xlnm.Print_Area" localSheetId="1">' سهام'!$A$1:$W$12</definedName>
    <definedName name="_xlnm.Print_Area" localSheetId="2">اوراق!$A$1:$AG$16</definedName>
    <definedName name="_xlnm.Print_Area" localSheetId="3">'تعدیل اوراق'!$A$1:$M$12</definedName>
    <definedName name="_xlnm.Print_Area" localSheetId="12">'درآمد سپرده بانکی'!$A$1:$L$108</definedName>
    <definedName name="_xlnm.Print_Area" localSheetId="11">'درآمد سرمایه گذاری در اوراق بها'!$A$1:$Q$23</definedName>
    <definedName name="_xlnm.Print_Area" localSheetId="10">'درآمد سرمایه گذاری در سهام '!$A$1:$U$13</definedName>
    <definedName name="_xlnm.Print_Area" localSheetId="6">'درآمد سود سهام'!$A$1:$S$11</definedName>
    <definedName name="_xlnm.Print_Area" localSheetId="9">'درآمد ناشی از تغییر قیمت اوراق '!$A$1:$Q$15</definedName>
    <definedName name="_xlnm.Print_Area" localSheetId="8">'درآمد ناشی ازفروش'!$A$1:$Q$18</definedName>
    <definedName name="_xlnm.Print_Area" localSheetId="5">درآمدها!$A$1:$I$11</definedName>
    <definedName name="_xlnm.Print_Area" localSheetId="0">روکش!$A$1:$I$36</definedName>
    <definedName name="_xlnm.Print_Area" localSheetId="13">'سایر درآمدها'!$A$1:$E$11</definedName>
    <definedName name="_xlnm.Print_Area" localSheetId="4">سپرده!$A$1:$S$41</definedName>
    <definedName name="_xlnm.Print_Area" localSheetId="7">'سود اوراق بهادار و سپرده بانکی'!$A$1:$Q$117</definedName>
    <definedName name="_xlnm.Print_Titles" localSheetId="1">' سهام'!$7:$9</definedName>
    <definedName name="_xlnm.Print_Titles" localSheetId="10">'درآمد سرمایه گذاری در سهام '!$7:$10</definedName>
    <definedName name="_xlnm.Print_Titles" localSheetId="9">'درآمد ناشی از تغییر قیمت اوراق '!$5:$6</definedName>
    <definedName name="_xlnm.Print_Titles" localSheetId="8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5" i="13" l="1"/>
  <c r="Q94" i="13"/>
  <c r="M57" i="13"/>
  <c r="M93" i="13"/>
  <c r="M99" i="13"/>
  <c r="M100" i="13"/>
  <c r="M45" i="13"/>
  <c r="G93" i="13"/>
  <c r="G57" i="13"/>
  <c r="G94" i="13"/>
  <c r="Q58" i="13"/>
  <c r="I96" i="7" s="1"/>
  <c r="Q24" i="13"/>
  <c r="I99" i="7" s="1"/>
  <c r="Q47" i="13"/>
  <c r="I90" i="7" s="1"/>
  <c r="Q59" i="13"/>
  <c r="I106" i="7" s="1"/>
  <c r="Q60" i="13"/>
  <c r="I95" i="7" s="1"/>
  <c r="Q61" i="13"/>
  <c r="I103" i="7" s="1"/>
  <c r="Q62" i="13"/>
  <c r="I97" i="7" s="1"/>
  <c r="Q63" i="13"/>
  <c r="I98" i="7" s="1"/>
  <c r="I101" i="7"/>
  <c r="Q7" i="13"/>
  <c r="I92" i="7" s="1"/>
  <c r="Q48" i="13"/>
  <c r="I84" i="7" s="1"/>
  <c r="Q64" i="13"/>
  <c r="I100" i="7" s="1"/>
  <c r="Q49" i="13"/>
  <c r="I82" i="7" s="1"/>
  <c r="Q25" i="13"/>
  <c r="I94" i="7" s="1"/>
  <c r="Q26" i="13"/>
  <c r="I83" i="7" s="1"/>
  <c r="Q45" i="13"/>
  <c r="I10" i="7" s="1"/>
  <c r="Q106" i="13"/>
  <c r="Q107" i="13"/>
  <c r="Q108" i="13"/>
  <c r="K11" i="6" s="1"/>
  <c r="Q109" i="13"/>
  <c r="K15" i="6" s="1"/>
  <c r="Q110" i="13"/>
  <c r="K19" i="6" s="1"/>
  <c r="I89" i="7"/>
  <c r="Q27" i="13"/>
  <c r="I85" i="7" s="1"/>
  <c r="Q28" i="13"/>
  <c r="I81" i="7" s="1"/>
  <c r="Q8" i="13"/>
  <c r="I16" i="7" s="1"/>
  <c r="Q29" i="13"/>
  <c r="I69" i="7" s="1"/>
  <c r="Q30" i="13"/>
  <c r="I58" i="7" s="1"/>
  <c r="Q65" i="13"/>
  <c r="I49" i="7" s="1"/>
  <c r="Q66" i="13"/>
  <c r="I47" i="7" s="1"/>
  <c r="Q67" i="13"/>
  <c r="I40" i="7" s="1"/>
  <c r="Q68" i="13"/>
  <c r="I77" i="7" s="1"/>
  <c r="Q31" i="13"/>
  <c r="I73" i="7" s="1"/>
  <c r="Q50" i="13"/>
  <c r="I70" i="7" s="1"/>
  <c r="Q69" i="13"/>
  <c r="I64" i="7" s="1"/>
  <c r="Q70" i="13"/>
  <c r="I50" i="7" s="1"/>
  <c r="Q71" i="13"/>
  <c r="I48" i="7" s="1"/>
  <c r="Q72" i="13"/>
  <c r="I46" i="7" s="1"/>
  <c r="Q73" i="13"/>
  <c r="I38" i="7" s="1"/>
  <c r="Q74" i="13"/>
  <c r="I78" i="7" s="1"/>
  <c r="Q9" i="13"/>
  <c r="I20" i="7" s="1"/>
  <c r="Q32" i="13"/>
  <c r="I11" i="7" s="1"/>
  <c r="Q51" i="13"/>
  <c r="I74" i="7" s="1"/>
  <c r="Q33" i="13"/>
  <c r="I60" i="7" s="1"/>
  <c r="Q75" i="13"/>
  <c r="I39" i="7" s="1"/>
  <c r="Q76" i="13"/>
  <c r="I34" i="7" s="1"/>
  <c r="Q77" i="13"/>
  <c r="I75" i="7" s="1"/>
  <c r="Q34" i="13"/>
  <c r="I12" i="7" s="1"/>
  <c r="Q52" i="13"/>
  <c r="I67" i="7" s="1"/>
  <c r="Q35" i="13"/>
  <c r="I56" i="7" s="1"/>
  <c r="Q10" i="13"/>
  <c r="I18" i="7" s="1"/>
  <c r="Q53" i="13"/>
  <c r="I66" i="7" s="1"/>
  <c r="Q36" i="13"/>
  <c r="I63" i="7" s="1"/>
  <c r="Q37" i="13"/>
  <c r="I61" i="7" s="1"/>
  <c r="Q78" i="13"/>
  <c r="I36" i="7" s="1"/>
  <c r="Q79" i="13"/>
  <c r="I37" i="7" s="1"/>
  <c r="Q80" i="13"/>
  <c r="I35" i="7" s="1"/>
  <c r="Q96" i="13"/>
  <c r="I88" i="7" s="1"/>
  <c r="Q38" i="13"/>
  <c r="I76" i="7" s="1"/>
  <c r="Q81" i="13"/>
  <c r="I72" i="7" s="1"/>
  <c r="Q82" i="13"/>
  <c r="I65" i="7" s="1"/>
  <c r="Q83" i="13"/>
  <c r="I53" i="7" s="1"/>
  <c r="Q84" i="13"/>
  <c r="I42" i="7" s="1"/>
  <c r="Q11" i="13"/>
  <c r="I22" i="7" s="1"/>
  <c r="Q97" i="13"/>
  <c r="I80" i="7" s="1"/>
  <c r="Q12" i="13"/>
  <c r="I19" i="7" s="1"/>
  <c r="Q54" i="13"/>
  <c r="I71" i="7" s="1"/>
  <c r="Q55" i="13"/>
  <c r="I68" i="7" s="1"/>
  <c r="Q56" i="13"/>
  <c r="I59" i="7" s="1"/>
  <c r="Q13" i="13"/>
  <c r="I45" i="7" s="1"/>
  <c r="Q85" i="13"/>
  <c r="I44" i="7" s="1"/>
  <c r="Q39" i="13"/>
  <c r="I14" i="7" s="1"/>
  <c r="Q40" i="13"/>
  <c r="I62" i="7" s="1"/>
  <c r="Q86" i="13"/>
  <c r="I55" i="7" s="1"/>
  <c r="Q87" i="13"/>
  <c r="I54" i="7" s="1"/>
  <c r="Q41" i="13"/>
  <c r="I52" i="7" s="1"/>
  <c r="Q88" i="13"/>
  <c r="I51" i="7" s="1"/>
  <c r="Q89" i="13"/>
  <c r="I43" i="7" s="1"/>
  <c r="Q98" i="13"/>
  <c r="I15" i="7" s="1"/>
  <c r="Q99" i="13"/>
  <c r="I41" i="7" s="1"/>
  <c r="Q100" i="13"/>
  <c r="I79" i="7" s="1"/>
  <c r="Q93" i="13"/>
  <c r="I9" i="7" s="1"/>
  <c r="Q101" i="13"/>
  <c r="I13" i="7" s="1"/>
  <c r="Q57" i="13"/>
  <c r="I57" i="7" s="1"/>
  <c r="Q102" i="13"/>
  <c r="I8" i="7" s="1"/>
  <c r="Q103" i="13"/>
  <c r="I104" i="7" s="1"/>
  <c r="Q42" i="13"/>
  <c r="I87" i="7" s="1"/>
  <c r="Q43" i="13"/>
  <c r="I93" i="7" s="1"/>
  <c r="Q111" i="13"/>
  <c r="K17" i="6" s="1"/>
  <c r="Q104" i="13"/>
  <c r="I105" i="7" s="1"/>
  <c r="Q44" i="13"/>
  <c r="I86" i="7" s="1"/>
  <c r="Q105" i="13"/>
  <c r="I102" i="7" s="1"/>
  <c r="Q112" i="13"/>
  <c r="K13" i="6" s="1"/>
  <c r="Q113" i="13"/>
  <c r="K21" i="6" s="1"/>
  <c r="Q114" i="13"/>
  <c r="K10" i="6" s="1"/>
  <c r="Q115" i="13"/>
  <c r="K14" i="6" s="1"/>
  <c r="Q116" i="13"/>
  <c r="K16" i="6" s="1"/>
  <c r="Q14" i="13"/>
  <c r="I26" i="7" s="1"/>
  <c r="Q90" i="13"/>
  <c r="I24" i="7" s="1"/>
  <c r="Q91" i="13"/>
  <c r="I17" i="7" s="1"/>
  <c r="Q15" i="13"/>
  <c r="I32" i="7" s="1"/>
  <c r="Q16" i="13"/>
  <c r="I25" i="7" s="1"/>
  <c r="Q17" i="13"/>
  <c r="I30" i="7" s="1"/>
  <c r="Q92" i="13"/>
  <c r="I33" i="7" s="1"/>
  <c r="Q18" i="13"/>
  <c r="I29" i="7" s="1"/>
  <c r="Q19" i="13"/>
  <c r="I27" i="7" s="1"/>
  <c r="Q20" i="13"/>
  <c r="I23" i="7" s="1"/>
  <c r="Q21" i="13"/>
  <c r="I31" i="7" s="1"/>
  <c r="Q22" i="13"/>
  <c r="I28" i="7" s="1"/>
  <c r="Q23" i="13"/>
  <c r="I21" i="7" s="1"/>
  <c r="Q46" i="13"/>
  <c r="I91" i="7" s="1"/>
  <c r="I117" i="13"/>
  <c r="O117" i="13"/>
  <c r="G117" i="13"/>
  <c r="O14" i="6"/>
  <c r="O20" i="6"/>
  <c r="M13" i="6"/>
  <c r="M17" i="6"/>
  <c r="G11" i="6"/>
  <c r="I11" i="6" s="1"/>
  <c r="G15" i="6"/>
  <c r="E17" i="6"/>
  <c r="I8" i="14"/>
  <c r="E13" i="6" s="1"/>
  <c r="I9" i="14"/>
  <c r="E14" i="6" s="1"/>
  <c r="I10" i="14"/>
  <c r="E16" i="6" s="1"/>
  <c r="I11" i="14"/>
  <c r="I12" i="14"/>
  <c r="E21" i="6" s="1"/>
  <c r="I7" i="14"/>
  <c r="E10" i="6" s="1"/>
  <c r="Q8" i="15"/>
  <c r="O17" i="6" s="1"/>
  <c r="Q9" i="15"/>
  <c r="O15" i="6" s="1"/>
  <c r="Q10" i="15"/>
  <c r="O12" i="6" s="1"/>
  <c r="Q12" i="6" s="1"/>
  <c r="Q11" i="15"/>
  <c r="Q12" i="15"/>
  <c r="O11" i="6" s="1"/>
  <c r="Q13" i="15"/>
  <c r="O18" i="6" s="1"/>
  <c r="Q14" i="15"/>
  <c r="Q15" i="15"/>
  <c r="O13" i="6" s="1"/>
  <c r="Q7" i="15"/>
  <c r="O19" i="6" s="1"/>
  <c r="I7" i="15"/>
  <c r="G19" i="6" s="1"/>
  <c r="I8" i="15"/>
  <c r="G17" i="6" s="1"/>
  <c r="I9" i="15"/>
  <c r="I10" i="15"/>
  <c r="G12" i="6" s="1"/>
  <c r="I12" i="6" s="1"/>
  <c r="I11" i="15"/>
  <c r="G20" i="6" s="1"/>
  <c r="I20" i="6" s="1"/>
  <c r="I12" i="15"/>
  <c r="I13" i="15"/>
  <c r="G18" i="6" s="1"/>
  <c r="I14" i="15"/>
  <c r="G14" i="6" s="1"/>
  <c r="I15" i="15"/>
  <c r="G13" i="6" s="1"/>
  <c r="K20" i="6"/>
  <c r="K106" i="13"/>
  <c r="K107" i="13"/>
  <c r="K108" i="13"/>
  <c r="K109" i="13"/>
  <c r="K110" i="13"/>
  <c r="K95" i="13"/>
  <c r="E89" i="7" s="1"/>
  <c r="K27" i="13"/>
  <c r="E85" i="7" s="1"/>
  <c r="K28" i="13"/>
  <c r="E81" i="7" s="1"/>
  <c r="K8" i="13"/>
  <c r="E16" i="7" s="1"/>
  <c r="K29" i="13"/>
  <c r="E69" i="7" s="1"/>
  <c r="K30" i="13"/>
  <c r="E58" i="7" s="1"/>
  <c r="K65" i="13"/>
  <c r="E49" i="7" s="1"/>
  <c r="K66" i="13"/>
  <c r="E47" i="7" s="1"/>
  <c r="K67" i="13"/>
  <c r="E40" i="7" s="1"/>
  <c r="K68" i="13"/>
  <c r="E77" i="7" s="1"/>
  <c r="K31" i="13"/>
  <c r="E73" i="7" s="1"/>
  <c r="K50" i="13"/>
  <c r="E70" i="7" s="1"/>
  <c r="K69" i="13"/>
  <c r="E64" i="7" s="1"/>
  <c r="K70" i="13"/>
  <c r="E50" i="7" s="1"/>
  <c r="K71" i="13"/>
  <c r="E48" i="7" s="1"/>
  <c r="K72" i="13"/>
  <c r="E46" i="7" s="1"/>
  <c r="K73" i="13"/>
  <c r="E38" i="7" s="1"/>
  <c r="K74" i="13"/>
  <c r="E78" i="7" s="1"/>
  <c r="K9" i="13"/>
  <c r="E20" i="7" s="1"/>
  <c r="K32" i="13"/>
  <c r="E11" i="7" s="1"/>
  <c r="K51" i="13"/>
  <c r="E74" i="7" s="1"/>
  <c r="K33" i="13"/>
  <c r="E60" i="7" s="1"/>
  <c r="K75" i="13"/>
  <c r="E39" i="7" s="1"/>
  <c r="K76" i="13"/>
  <c r="E34" i="7" s="1"/>
  <c r="K14" i="13"/>
  <c r="E26" i="7" s="1"/>
  <c r="K90" i="13"/>
  <c r="E24" i="7" s="1"/>
  <c r="K91" i="13"/>
  <c r="E17" i="7" s="1"/>
  <c r="K77" i="13"/>
  <c r="E75" i="7" s="1"/>
  <c r="K34" i="13"/>
  <c r="E12" i="7" s="1"/>
  <c r="K52" i="13"/>
  <c r="E67" i="7" s="1"/>
  <c r="K35" i="13"/>
  <c r="E56" i="7" s="1"/>
  <c r="K15" i="13"/>
  <c r="E32" i="7" s="1"/>
  <c r="K16" i="13"/>
  <c r="E25" i="7" s="1"/>
  <c r="K49" i="13"/>
  <c r="E82" i="7" s="1"/>
  <c r="K10" i="13"/>
  <c r="E18" i="7" s="1"/>
  <c r="K53" i="13"/>
  <c r="E66" i="7" s="1"/>
  <c r="K36" i="13"/>
  <c r="E63" i="7" s="1"/>
  <c r="K37" i="13"/>
  <c r="E61" i="7" s="1"/>
  <c r="K78" i="13"/>
  <c r="E36" i="7" s="1"/>
  <c r="K79" i="13"/>
  <c r="E37" i="7" s="1"/>
  <c r="K80" i="13"/>
  <c r="E35" i="7" s="1"/>
  <c r="K17" i="13"/>
  <c r="E30" i="7" s="1"/>
  <c r="K96" i="13"/>
  <c r="E88" i="7" s="1"/>
  <c r="K38" i="13"/>
  <c r="E76" i="7" s="1"/>
  <c r="K81" i="13"/>
  <c r="E72" i="7" s="1"/>
  <c r="K82" i="13"/>
  <c r="E65" i="7" s="1"/>
  <c r="K83" i="13"/>
  <c r="E53" i="7" s="1"/>
  <c r="K84" i="13"/>
  <c r="E42" i="7" s="1"/>
  <c r="K92" i="13"/>
  <c r="E33" i="7" s="1"/>
  <c r="K18" i="13"/>
  <c r="E29" i="7" s="1"/>
  <c r="K19" i="13"/>
  <c r="E27" i="7" s="1"/>
  <c r="K11" i="13"/>
  <c r="E22" i="7" s="1"/>
  <c r="K97" i="13"/>
  <c r="E80" i="7" s="1"/>
  <c r="K12" i="13"/>
  <c r="E19" i="7" s="1"/>
  <c r="K54" i="13"/>
  <c r="E71" i="7" s="1"/>
  <c r="K55" i="13"/>
  <c r="E68" i="7" s="1"/>
  <c r="K56" i="13"/>
  <c r="E59" i="7" s="1"/>
  <c r="K13" i="13"/>
  <c r="E45" i="7" s="1"/>
  <c r="K85" i="13"/>
  <c r="E44" i="7" s="1"/>
  <c r="K20" i="13"/>
  <c r="E23" i="7" s="1"/>
  <c r="K48" i="13"/>
  <c r="E84" i="7" s="1"/>
  <c r="K39" i="13"/>
  <c r="E14" i="7" s="1"/>
  <c r="K40" i="13"/>
  <c r="E62" i="7" s="1"/>
  <c r="K86" i="13"/>
  <c r="E55" i="7" s="1"/>
  <c r="K87" i="13"/>
  <c r="E54" i="7" s="1"/>
  <c r="K41" i="13"/>
  <c r="E52" i="7" s="1"/>
  <c r="K88" i="13"/>
  <c r="E51" i="7" s="1"/>
  <c r="K89" i="13"/>
  <c r="E43" i="7" s="1"/>
  <c r="K21" i="13"/>
  <c r="E31" i="7" s="1"/>
  <c r="K22" i="13"/>
  <c r="E28" i="7" s="1"/>
  <c r="K23" i="13"/>
  <c r="E21" i="7" s="1"/>
  <c r="K98" i="13"/>
  <c r="E15" i="7" s="1"/>
  <c r="K99" i="13"/>
  <c r="E41" i="7" s="1"/>
  <c r="K100" i="13"/>
  <c r="E79" i="7" s="1"/>
  <c r="K93" i="13"/>
  <c r="E9" i="7" s="1"/>
  <c r="K101" i="13"/>
  <c r="E13" i="7" s="1"/>
  <c r="K57" i="13"/>
  <c r="E57" i="7" s="1"/>
  <c r="K102" i="13"/>
  <c r="E8" i="7" s="1"/>
  <c r="K103" i="13"/>
  <c r="E104" i="7" s="1"/>
  <c r="K26" i="13"/>
  <c r="E83" i="7" s="1"/>
  <c r="K64" i="13"/>
  <c r="E100" i="7" s="1"/>
  <c r="K61" i="13"/>
  <c r="E103" i="7" s="1"/>
  <c r="K59" i="13"/>
  <c r="E106" i="7" s="1"/>
  <c r="K7" i="13"/>
  <c r="E92" i="7" s="1"/>
  <c r="K42" i="13"/>
  <c r="E87" i="7" s="1"/>
  <c r="K63" i="13"/>
  <c r="E98" i="7" s="1"/>
  <c r="K43" i="13"/>
  <c r="E93" i="7" s="1"/>
  <c r="K62" i="13"/>
  <c r="E97" i="7" s="1"/>
  <c r="K111" i="13"/>
  <c r="K25" i="13"/>
  <c r="E94" i="7" s="1"/>
  <c r="K104" i="13"/>
  <c r="E105" i="7" s="1"/>
  <c r="K44" i="13"/>
  <c r="E86" i="7" s="1"/>
  <c r="K60" i="13"/>
  <c r="E95" i="7" s="1"/>
  <c r="K105" i="13"/>
  <c r="E102" i="7" s="1"/>
  <c r="K47" i="13"/>
  <c r="E90" i="7" s="1"/>
  <c r="K112" i="13"/>
  <c r="C13" i="6" s="1"/>
  <c r="K113" i="13"/>
  <c r="C21" i="6" s="1"/>
  <c r="K46" i="13"/>
  <c r="E91" i="7" s="1"/>
  <c r="K58" i="13"/>
  <c r="E96" i="7" s="1"/>
  <c r="K24" i="13"/>
  <c r="E99" i="7" s="1"/>
  <c r="K114" i="13"/>
  <c r="K115" i="13"/>
  <c r="C14" i="6" s="1"/>
  <c r="K116" i="13"/>
  <c r="K45" i="13"/>
  <c r="E10" i="7" s="1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K10" i="19"/>
  <c r="K9" i="19"/>
  <c r="AG10" i="17"/>
  <c r="AG11" i="17"/>
  <c r="AG12" i="17"/>
  <c r="AG13" i="17"/>
  <c r="AG14" i="17"/>
  <c r="AG9" i="17"/>
  <c r="E10" i="8"/>
  <c r="C10" i="8"/>
  <c r="E10" i="11" s="1"/>
  <c r="I10" i="11" s="1"/>
  <c r="O13" i="14"/>
  <c r="M13" i="14"/>
  <c r="G13" i="14"/>
  <c r="E13" i="14"/>
  <c r="Q16" i="15"/>
  <c r="O16" i="15"/>
  <c r="M16" i="15"/>
  <c r="G16" i="15"/>
  <c r="E16" i="15"/>
  <c r="I7" i="11"/>
  <c r="Q41" i="2"/>
  <c r="O41" i="2"/>
  <c r="M41" i="2"/>
  <c r="K41" i="2"/>
  <c r="AE15" i="17"/>
  <c r="AC15" i="17"/>
  <c r="W15" i="17"/>
  <c r="T15" i="17"/>
  <c r="Q15" i="17"/>
  <c r="O15" i="17"/>
  <c r="E7" i="11"/>
  <c r="I13" i="14" l="1"/>
  <c r="Q19" i="6"/>
  <c r="Q13" i="6"/>
  <c r="Q15" i="6"/>
  <c r="M117" i="13"/>
  <c r="K94" i="13"/>
  <c r="Q117" i="13"/>
  <c r="I107" i="7"/>
  <c r="Q11" i="6"/>
  <c r="K18" i="6"/>
  <c r="Q18" i="6" s="1"/>
  <c r="Q20" i="6"/>
  <c r="I13" i="6"/>
  <c r="Q17" i="6"/>
  <c r="I14" i="6"/>
  <c r="I21" i="6"/>
  <c r="E22" i="6"/>
  <c r="I16" i="15"/>
  <c r="AG15" i="17"/>
  <c r="S41" i="2"/>
  <c r="I9" i="19"/>
  <c r="E101" i="7" l="1"/>
  <c r="E107" i="7" s="1"/>
  <c r="G11" i="7" s="1"/>
  <c r="I10" i="19"/>
  <c r="Q9" i="14"/>
  <c r="M14" i="6" s="1"/>
  <c r="Q14" i="6" s="1"/>
  <c r="Q10" i="14"/>
  <c r="M16" i="6" s="1"/>
  <c r="Q16" i="6" s="1"/>
  <c r="Q12" i="14"/>
  <c r="M21" i="6" s="1"/>
  <c r="Q21" i="6" s="1"/>
  <c r="Q7" i="14"/>
  <c r="C16" i="6"/>
  <c r="I16" i="6" s="1"/>
  <c r="C18" i="6"/>
  <c r="I18" i="6" s="1"/>
  <c r="C10" i="6"/>
  <c r="I10" i="6" s="1"/>
  <c r="C15" i="6"/>
  <c r="I15" i="6" s="1"/>
  <c r="C17" i="6"/>
  <c r="I17" i="6" s="1"/>
  <c r="Q13" i="14" l="1"/>
  <c r="M10" i="6"/>
  <c r="G17" i="7"/>
  <c r="G81" i="7"/>
  <c r="G62" i="7"/>
  <c r="G54" i="7"/>
  <c r="G44" i="7"/>
  <c r="G59" i="7"/>
  <c r="G84" i="7"/>
  <c r="G90" i="7"/>
  <c r="G95" i="7"/>
  <c r="G16" i="7"/>
  <c r="G33" i="7"/>
  <c r="G63" i="7"/>
  <c r="G27" i="7"/>
  <c r="G24" i="7"/>
  <c r="G68" i="7"/>
  <c r="G100" i="7"/>
  <c r="G86" i="7"/>
  <c r="G103" i="7"/>
  <c r="G82" i="7"/>
  <c r="G60" i="7"/>
  <c r="G71" i="7"/>
  <c r="G35" i="7"/>
  <c r="G15" i="7"/>
  <c r="G29" i="7"/>
  <c r="G73" i="7"/>
  <c r="G14" i="7"/>
  <c r="G85" i="7"/>
  <c r="G13" i="7"/>
  <c r="G91" i="7"/>
  <c r="G22" i="7"/>
  <c r="G99" i="7"/>
  <c r="G89" i="7"/>
  <c r="G58" i="7"/>
  <c r="G97" i="7"/>
  <c r="G61" i="7"/>
  <c r="G39" i="7"/>
  <c r="G50" i="7"/>
  <c r="G20" i="7"/>
  <c r="G55" i="7"/>
  <c r="G80" i="7"/>
  <c r="G94" i="7"/>
  <c r="G106" i="7"/>
  <c r="G66" i="7"/>
  <c r="G57" i="7"/>
  <c r="G104" i="7"/>
  <c r="G38" i="7"/>
  <c r="G42" i="7"/>
  <c r="G46" i="7"/>
  <c r="G41" i="7"/>
  <c r="G37" i="7"/>
  <c r="G47" i="7"/>
  <c r="G96" i="7"/>
  <c r="G56" i="7"/>
  <c r="G36" i="7"/>
  <c r="G19" i="7"/>
  <c r="G48" i="7"/>
  <c r="G9" i="7"/>
  <c r="G52" i="7"/>
  <c r="G92" i="7"/>
  <c r="G67" i="7"/>
  <c r="G30" i="7"/>
  <c r="G105" i="7"/>
  <c r="G49" i="7"/>
  <c r="G51" i="7"/>
  <c r="G28" i="7"/>
  <c r="G70" i="7"/>
  <c r="G69" i="7"/>
  <c r="G101" i="7"/>
  <c r="G21" i="7"/>
  <c r="G34" i="7"/>
  <c r="G75" i="7"/>
  <c r="G8" i="7"/>
  <c r="G10" i="7"/>
  <c r="G77" i="7"/>
  <c r="G79" i="7"/>
  <c r="G83" i="7"/>
  <c r="G43" i="7"/>
  <c r="G23" i="7"/>
  <c r="G72" i="7"/>
  <c r="G32" i="7"/>
  <c r="G31" i="7"/>
  <c r="G45" i="7"/>
  <c r="G88" i="7"/>
  <c r="G93" i="7"/>
  <c r="G98" i="7"/>
  <c r="G102" i="7"/>
  <c r="G76" i="7"/>
  <c r="G26" i="7"/>
  <c r="G87" i="7"/>
  <c r="G12" i="7"/>
  <c r="G53" i="7"/>
  <c r="G40" i="7"/>
  <c r="G78" i="7"/>
  <c r="G64" i="7"/>
  <c r="G65" i="7"/>
  <c r="G25" i="7"/>
  <c r="G74" i="7"/>
  <c r="G18" i="7"/>
  <c r="K117" i="13"/>
  <c r="K22" i="6"/>
  <c r="C19" i="6"/>
  <c r="G22" i="6"/>
  <c r="Q10" i="6" l="1"/>
  <c r="M22" i="6"/>
  <c r="G107" i="7"/>
  <c r="C22" i="6"/>
  <c r="I19" i="6"/>
  <c r="K17" i="7" l="1"/>
  <c r="K18" i="7"/>
  <c r="K15" i="7"/>
  <c r="K96" i="7"/>
  <c r="K55" i="7"/>
  <c r="K75" i="7"/>
  <c r="K23" i="7"/>
  <c r="K57" i="7"/>
  <c r="K100" i="7"/>
  <c r="K36" i="7"/>
  <c r="K81" i="7"/>
  <c r="K79" i="7"/>
  <c r="K61" i="7"/>
  <c r="K85" i="7"/>
  <c r="K106" i="7"/>
  <c r="K87" i="7"/>
  <c r="K88" i="7"/>
  <c r="K49" i="7"/>
  <c r="K21" i="7"/>
  <c r="K9" i="7"/>
  <c r="K71" i="7"/>
  <c r="K53" i="7"/>
  <c r="K10" i="7"/>
  <c r="K44" i="7"/>
  <c r="K47" i="7"/>
  <c r="K83" i="7"/>
  <c r="K64" i="7"/>
  <c r="K19" i="7"/>
  <c r="K95" i="7"/>
  <c r="K45" i="7"/>
  <c r="K60" i="7"/>
  <c r="K66" i="7"/>
  <c r="K80" i="7"/>
  <c r="K31" i="7"/>
  <c r="K25" i="7"/>
  <c r="K90" i="7"/>
  <c r="K39" i="7"/>
  <c r="K43" i="7"/>
  <c r="K32" i="7"/>
  <c r="K105" i="7"/>
  <c r="K54" i="7"/>
  <c r="K41" i="7"/>
  <c r="K63" i="7"/>
  <c r="K89" i="7"/>
  <c r="K67" i="7"/>
  <c r="K97" i="7"/>
  <c r="K22" i="7"/>
  <c r="K46" i="7"/>
  <c r="K78" i="7"/>
  <c r="K12" i="7"/>
  <c r="K62" i="7"/>
  <c r="K8" i="7"/>
  <c r="K73" i="7"/>
  <c r="K14" i="7"/>
  <c r="K24" i="7"/>
  <c r="K94" i="7"/>
  <c r="K35" i="7"/>
  <c r="K51" i="7"/>
  <c r="K56" i="7"/>
  <c r="K104" i="7"/>
  <c r="K13" i="7"/>
  <c r="K37" i="7"/>
  <c r="K16" i="7"/>
  <c r="K58" i="7"/>
  <c r="K69" i="7"/>
  <c r="K27" i="7"/>
  <c r="K48" i="7"/>
  <c r="K99" i="7"/>
  <c r="K29" i="7"/>
  <c r="K50" i="7"/>
  <c r="K30" i="7"/>
  <c r="K98" i="7"/>
  <c r="K20" i="7"/>
  <c r="K28" i="7"/>
  <c r="K92" i="7"/>
  <c r="K101" i="7"/>
  <c r="K72" i="7"/>
  <c r="K40" i="7"/>
  <c r="K86" i="7"/>
  <c r="K76" i="7"/>
  <c r="K34" i="7"/>
  <c r="K33" i="7"/>
  <c r="K102" i="7"/>
  <c r="K103" i="7"/>
  <c r="K65" i="7"/>
  <c r="K77" i="7"/>
  <c r="K70" i="7"/>
  <c r="K38" i="7"/>
  <c r="K59" i="7"/>
  <c r="K74" i="7"/>
  <c r="K42" i="7"/>
  <c r="K93" i="7"/>
  <c r="K68" i="7"/>
  <c r="K11" i="7"/>
  <c r="K52" i="7"/>
  <c r="K91" i="7"/>
  <c r="K84" i="7"/>
  <c r="K26" i="7"/>
  <c r="K82" i="7"/>
  <c r="E9" i="11"/>
  <c r="I9" i="11" s="1"/>
  <c r="A3" i="13"/>
  <c r="K107" i="7" l="1"/>
  <c r="O22" i="6" l="1"/>
  <c r="I22" i="6"/>
  <c r="Q22" i="6" l="1"/>
  <c r="F117" i="13"/>
  <c r="H117" i="13"/>
  <c r="J117" i="13"/>
  <c r="N117" i="13"/>
  <c r="P117" i="13"/>
  <c r="E8" i="11" l="1"/>
  <c r="E11" i="11" l="1"/>
  <c r="G8" i="11" s="1"/>
  <c r="I8" i="11"/>
  <c r="I11" i="11" s="1"/>
  <c r="L51" i="13"/>
  <c r="L117" i="13" s="1"/>
  <c r="G7" i="11" l="1"/>
  <c r="G9" i="11"/>
  <c r="G10" i="11"/>
  <c r="C12" i="5"/>
  <c r="I11" i="5"/>
  <c r="I12" i="5" s="1"/>
  <c r="S11" i="5"/>
  <c r="S12" i="5" s="1"/>
  <c r="E12" i="5"/>
  <c r="M12" i="5"/>
  <c r="O12" i="5"/>
  <c r="G11" i="11" l="1"/>
  <c r="A3" i="19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G12" i="5"/>
  <c r="Q12" i="5"/>
  <c r="U12" i="5" l="1"/>
  <c r="K12" i="5" l="1"/>
  <c r="J9" i="18" l="1"/>
  <c r="L9" i="18"/>
  <c r="N9" i="18"/>
  <c r="R9" i="18"/>
  <c r="D22" i="6" l="1"/>
  <c r="F22" i="6"/>
  <c r="H22" i="6"/>
  <c r="J22" i="6"/>
  <c r="L22" i="6"/>
  <c r="N22" i="6"/>
  <c r="P22" i="6"/>
  <c r="A3" i="14" l="1"/>
  <c r="A3" i="8" l="1"/>
  <c r="A3" i="7"/>
  <c r="A3" i="6"/>
  <c r="A3" i="5"/>
  <c r="A3" i="15"/>
  <c r="A3" i="2" l="1"/>
  <c r="A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9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<sst xmlns="http://schemas.openxmlformats.org/spreadsheetml/2006/main" count="837" uniqueCount="365">
  <si>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</si>
  <si>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</si>
  <si>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</si>
  <si>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</si>
  <si>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</si>
  <si>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</si>
  <si>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</si>
  <si>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</si>
  <si>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</si>
  <si>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</si>
  <si>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</si>
  <si>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</si>
  <si>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</si>
  <si>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</si>
  <si>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</si>
  <si>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</si>
  <si>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</si>
  <si>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</si>
  <si>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</si>
  <si>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</si>
  <si>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</si>
  <si>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</si>
  <si>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</si>
  <si>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</si>
  <si>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</si>
  <si>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</si>
  <si>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</si>
  <si>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</si>
  <si>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</si>
  <si>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</si>
  <si>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</si>
  <si>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</si>
  <si>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</si>
  <si>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</si>
  <si>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</si>
  <si>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</si>
  <si>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</si>
  <si>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</si>
  <si>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</si>
  <si>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</si>
  <si>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</si>
  <si>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</si>
  <si>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</si>
  <si>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</si>
  <si>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</si>
  <si>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</si>
  <si>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</si>
  <si>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</si>
  <si>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</si>
  <si>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</si>
  <si>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</si>
  <si>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</si>
  <si>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</si>
  <si>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</si>
  <si>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</si>
  <si>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</si>
  <si>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</si>
  <si>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</si>
  <si>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</si>
  <si>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</si>
  <si>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</si>
  <si>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</si>
  <si>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</si>
  <si>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</si>
  <si>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</si>
  <si>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</si>
  <si>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</si>
  <si>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</si>
  <si>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</si>
  <si>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</si>
  <si>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</si>
  <si>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</si>
  <si>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</si>
  <si>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</si>
  <si>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</si>
  <si>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</si>
  <si>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</si>
  <si>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</si>
  <si>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</si>
  <si>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</si>
  <si>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</si>
  <si>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</si>
  <si>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</si>
  <si>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</si>
  <si>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</si>
  <si>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</si>
  <si>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</si>
  <si>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</si>
  <si>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درآمدها</t>
  </si>
  <si>
    <t>صندوق سرمایه گذاری ندای ثابت کیان</t>
  </si>
  <si>
    <t>کوتاه مدت</t>
  </si>
  <si>
    <t>-</t>
  </si>
  <si>
    <t>---</t>
  </si>
  <si>
    <t>بلی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</si>
  <si>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</si>
  <si>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</si>
  <si>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</si>
  <si>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</si>
  <si>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</si>
  <si>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</si>
  <si>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</si>
  <si>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t>‫قیمت
پایانی</t>
  </si>
  <si>
    <t>اجاره غدیر ایرانیان 14050114 (غدیر05)</t>
  </si>
  <si>
    <t>1401/01/14</t>
  </si>
  <si>
    <t>1405/01/14</t>
  </si>
  <si>
    <t>سپرده سرمایه‌گذاری</t>
  </si>
  <si>
    <t>864-810-3998429-1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</si>
  <si>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</si>
  <si>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0228580617005</t>
  </si>
  <si>
    <t>دارایی</t>
  </si>
  <si>
    <t>اجاره تابان فردا سپهر14050803 (تابان08)</t>
  </si>
  <si>
    <t>اقتصادنوین 124.283.6867480.8</t>
  </si>
  <si>
    <t>پاسارگاد20990121522726819</t>
  </si>
  <si>
    <t>124-850-6867480-1</t>
  </si>
  <si>
    <t>124-283-6867480-8</t>
  </si>
  <si>
    <t>209-9012-15227268-19</t>
  </si>
  <si>
    <t>مرابحه عام دولت86-ش.خ020404 (اراد86)</t>
  </si>
  <si>
    <t>صکوک اجاره کگل509-بدون ضامن (صگل509)</t>
  </si>
  <si>
    <t>1402/04/04</t>
  </si>
  <si>
    <t>1401/09/02</t>
  </si>
  <si>
    <t>1405/09/02</t>
  </si>
  <si>
    <t>پاسارگاد209.9012.15227268.20</t>
  </si>
  <si>
    <t>پاسارگاد209.9012.15227268.21</t>
  </si>
  <si>
    <t>پاسارگاد209.9012.15227268.22</t>
  </si>
  <si>
    <t>209-9012-15227268-20</t>
  </si>
  <si>
    <t>209-9012-15227268-21</t>
  </si>
  <si>
    <t>209-9012-15227268-22</t>
  </si>
  <si>
    <t>اقتصادنوین 124.283.6867480.9</t>
  </si>
  <si>
    <t>اقتصادنوین 124.283.6867480.10</t>
  </si>
  <si>
    <t>اقتصادنوین 124.283.6867480.11</t>
  </si>
  <si>
    <t>اقتصادنوین 124.283.6867480.12</t>
  </si>
  <si>
    <t>اقتصادنوین 124.283.6867480.13</t>
  </si>
  <si>
    <t>اقتصادنوین 124.283.6867480.14</t>
  </si>
  <si>
    <t>اقتصادنوین 124.283.6867480.15</t>
  </si>
  <si>
    <t>اقتصادنوین 124.283.6867480.16</t>
  </si>
  <si>
    <t>اقتصادنوین 124.283.6867480.17</t>
  </si>
  <si>
    <t>اقتصادنوین 124.283.6867480.18</t>
  </si>
  <si>
    <t>124-283-6867480-9</t>
  </si>
  <si>
    <t>124-283-6867480-10</t>
  </si>
  <si>
    <t>124-283-6867480-11</t>
  </si>
  <si>
    <t>124-283-6867480-12</t>
  </si>
  <si>
    <t>124-283-6867480-13</t>
  </si>
  <si>
    <t>124-283-6867480-14</t>
  </si>
  <si>
    <t>124-283-6867480-15</t>
  </si>
  <si>
    <t>124-283-6867480-16</t>
  </si>
  <si>
    <t>124-283-6867480-17</t>
  </si>
  <si>
    <t>124-283-6867480-18</t>
  </si>
  <si>
    <t>اسنادخزانه-م9بودجه99-020316 (اخزا909)</t>
  </si>
  <si>
    <t>مرابحه عام دولت120-ش.خ040417 (اراد120)</t>
  </si>
  <si>
    <t>پاسارگاد209.303.15227268.1</t>
  </si>
  <si>
    <t>پاسارگاد 209.303.15227268.2</t>
  </si>
  <si>
    <t>پاسارگاد 209.420.15227268.1</t>
  </si>
  <si>
    <t xml:space="preserve">پاسارگاد 209.420.15227268.2	</t>
  </si>
  <si>
    <t>پاسارگاد209.420.15227268.3</t>
  </si>
  <si>
    <t>پاسارگاد209.420.15227268.4</t>
  </si>
  <si>
    <t>پاسارگاد 209.420.15227268.5</t>
  </si>
  <si>
    <t>پاسارگاد209.9012.15227268.23</t>
  </si>
  <si>
    <t>پاسارگاد209.9012.15227268.24</t>
  </si>
  <si>
    <t>پاسارگاد209.9012.15227268.25</t>
  </si>
  <si>
    <t>پاسارگاد209.9012.15227268.26</t>
  </si>
  <si>
    <t>209-303-15227268-2</t>
  </si>
  <si>
    <t>209-9012-15227268-23</t>
  </si>
  <si>
    <t>209-9012-15227268-24</t>
  </si>
  <si>
    <t>209-9012-15227268-25</t>
  </si>
  <si>
    <t>209-9012-15227268-26</t>
  </si>
  <si>
    <t>209-9012-15227268-27</t>
  </si>
  <si>
    <t>0217918818004</t>
  </si>
  <si>
    <t>پاسارگاد 209.307.15227268.1</t>
  </si>
  <si>
    <t>پاسارگاد 209.307.15227268.2</t>
  </si>
  <si>
    <t>پاسارگاد 209.307.15227268.3</t>
  </si>
  <si>
    <t>124-283-6867480-20</t>
  </si>
  <si>
    <t>371-4-5277300-1</t>
  </si>
  <si>
    <t>جاری</t>
  </si>
  <si>
    <t>پاسارگاد 209.307.15227268.4</t>
  </si>
  <si>
    <t>اقتصاد نوین 124.283.6867480.24</t>
  </si>
  <si>
    <t>124-283-6867480-22</t>
  </si>
  <si>
    <t>124-283-6867480-23</t>
  </si>
  <si>
    <t>124-283-6867480-24</t>
  </si>
  <si>
    <t>اقتصاد نوین 124.283.6867480.25</t>
  </si>
  <si>
    <t>124-283-6867480-25</t>
  </si>
  <si>
    <t>مسکن 5600931333928</t>
  </si>
  <si>
    <t>مسکن کوتاه مدت	-310058720239</t>
  </si>
  <si>
    <t>مسکن کوتاه مدت-4110001907768</t>
  </si>
  <si>
    <t>پاسارگاد 209.307.15227268.5</t>
  </si>
  <si>
    <t>پاسارگاد 209.307.15227268.7</t>
  </si>
  <si>
    <t>مرابحه عام دولت4-ش.خ 0206 (اراد49)</t>
  </si>
  <si>
    <t>1402/06/12</t>
  </si>
  <si>
    <t>پاسارگاد 209.307.15227268.8</t>
  </si>
  <si>
    <t>پاسارگاد 209.307.15227268.9</t>
  </si>
  <si>
    <t>مسکن 5600931333993</t>
  </si>
  <si>
    <t>مسکن 5600931333969</t>
  </si>
  <si>
    <t>124-283-6867480-26</t>
  </si>
  <si>
    <t>124-283-6867480-27</t>
  </si>
  <si>
    <t>اقتصاد نوین 124.283.6867480.26</t>
  </si>
  <si>
    <t>اقتصاد نوین 124.283.6867480.27</t>
  </si>
  <si>
    <t>5600931333928</t>
  </si>
  <si>
    <t>5600931333969</t>
  </si>
  <si>
    <t>5600931333993</t>
  </si>
  <si>
    <t>310058720239</t>
  </si>
  <si>
    <t>4110001907768</t>
  </si>
  <si>
    <t>پاسارگاد 209.307.15227268.10</t>
  </si>
  <si>
    <t>پاسارگاد 209.306.15227268.1</t>
  </si>
  <si>
    <t>209-307-15227268-4</t>
  </si>
  <si>
    <t>209-307-15227268-5</t>
  </si>
  <si>
    <t>209-307-15227268-8</t>
  </si>
  <si>
    <t>209-307-15227268-9</t>
  </si>
  <si>
    <t>209-307-15227268-10</t>
  </si>
  <si>
    <t>209-306-15227268-1</t>
  </si>
  <si>
    <t>اقتصاد نوین 124.283.6867480.28</t>
  </si>
  <si>
    <t>اقتصاد نوین 124.283.6867480.29</t>
  </si>
  <si>
    <t>اقتصاد نوین 124.283.6867480.30</t>
  </si>
  <si>
    <t>124-283-6867480-29</t>
  </si>
  <si>
    <t>124-283-6867480-30</t>
  </si>
  <si>
    <t xml:space="preserve">اقتصاد نوین کوتاه مدت-12485068674801	</t>
  </si>
  <si>
    <t>مسکن 5600931334017</t>
  </si>
  <si>
    <t>مسکن 5600929334318</t>
  </si>
  <si>
    <t>مسکن 5600931334025</t>
  </si>
  <si>
    <t>مسکن 5600931334041</t>
  </si>
  <si>
    <t xml:space="preserve">سامان کوتاه مدت-86481039984291	</t>
  </si>
  <si>
    <t xml:space="preserve"> خاور میانه کوتاه مدت-100510810707074272	</t>
  </si>
  <si>
    <t>صادرات کوتاه مدت-0217918818004</t>
  </si>
  <si>
    <t>ملی کوتاه مدت- 0228580617005</t>
  </si>
  <si>
    <t>اقتصادنوین 124.283.6867480.4</t>
  </si>
  <si>
    <t>اقتصادنوین 124.283.6867480.5</t>
  </si>
  <si>
    <t>اقتصادنوین 124.283.6867480.6</t>
  </si>
  <si>
    <t>اقتصادنوین 124.283.6867480.7</t>
  </si>
  <si>
    <t>124-283-6867480-3</t>
  </si>
  <si>
    <t>124-283-6867480-4</t>
  </si>
  <si>
    <t>124-283-6867480-5</t>
  </si>
  <si>
    <t>124-283-6867480-6</t>
  </si>
  <si>
    <t>124-283-6867480-7</t>
  </si>
  <si>
    <t>مرابحه عام دولت69-ش.خ0310 (اراد69)</t>
  </si>
  <si>
    <t>مرابحه الکترومادیرا-کیان060626 (الکترومادیران062)</t>
  </si>
  <si>
    <t>1399/10/21</t>
  </si>
  <si>
    <t>1403/10/21</t>
  </si>
  <si>
    <t>1406/06/26</t>
  </si>
  <si>
    <t>مرابحه عام دولت69-ش.خ0310</t>
  </si>
  <si>
    <t>اقتصاد نوین 124.283.6867480.20</t>
  </si>
  <si>
    <t>اقتصاد نوین 12428368674803</t>
  </si>
  <si>
    <t>اقتصادنوین124.283.6867480.19</t>
  </si>
  <si>
    <t>اقتصاد نوین 124.283.6867480.22</t>
  </si>
  <si>
    <t>اقتصاد نوین 12428368674802</t>
  </si>
  <si>
    <t>پاسارگاد 209.9012.15227268.27</t>
  </si>
  <si>
    <t>اقتصاد نوین 12428368674801</t>
  </si>
  <si>
    <t>سینا جاری-371452773001</t>
  </si>
  <si>
    <t>اقتصاد نوین 124.283.6867480.23</t>
  </si>
  <si>
    <t>مسکن 5600931334082</t>
  </si>
  <si>
    <t>رفاه363648562</t>
  </si>
  <si>
    <t>رفاه کوتاه مدت 359490219</t>
  </si>
  <si>
    <t>مسکن 5600931334074</t>
  </si>
  <si>
    <t>اقتصاد نوین 32-6867480-283-124</t>
  </si>
  <si>
    <t>پاسارگاد 209.307.15227268.12</t>
  </si>
  <si>
    <t>پاسارگاد 209.307.15227268.11</t>
  </si>
  <si>
    <t>اقتصاد نوین- 31-6867480-283-124</t>
  </si>
  <si>
    <t>1005/10/810/707074272</t>
  </si>
  <si>
    <t>124-283-6867480-31</t>
  </si>
  <si>
    <t>124.283.6867480.28</t>
  </si>
  <si>
    <t>12428368674801</t>
  </si>
  <si>
    <t>12428368674802</t>
  </si>
  <si>
    <t>124-283-6867480-32</t>
  </si>
  <si>
    <t>124.283.6867480.19</t>
  </si>
  <si>
    <t>209-307-15227268-1</t>
  </si>
  <si>
    <t>209-307-15227268-11</t>
  </si>
  <si>
    <t>209-307-15227268-12</t>
  </si>
  <si>
    <t>209-307-15227268-2</t>
  </si>
  <si>
    <t>209-307-15227268-3</t>
  </si>
  <si>
    <t>209.307.15227268.7</t>
  </si>
  <si>
    <t>209-420-15227268-1</t>
  </si>
  <si>
    <t>209-420-15227268-2</t>
  </si>
  <si>
    <t>209.420.15227268.5</t>
  </si>
  <si>
    <t>209.303.15227268.1</t>
  </si>
  <si>
    <t>209.420.15227268.3</t>
  </si>
  <si>
    <t>209.420.15227268.4</t>
  </si>
  <si>
    <t>359490219</t>
  </si>
  <si>
    <t>363648562</t>
  </si>
  <si>
    <t>5600929334318</t>
  </si>
  <si>
    <t>5600931334017</t>
  </si>
  <si>
    <t>5600931334025</t>
  </si>
  <si>
    <t>5600931334041</t>
  </si>
  <si>
    <t>5600931334074</t>
  </si>
  <si>
    <t>5600931334082</t>
  </si>
  <si>
    <t>درآمد حاصل از سرمایه­گذاری در سهام و حق تقدم سهام و صندوق‌های سرمایه‌گذاری</t>
  </si>
  <si>
    <t>تعدیل کارمزد کارگزاری</t>
  </si>
  <si>
    <t>با توجه به قرارداد خرید و تعهد به بازخرید اوراق مدکور بین صندوق و بازارگردان، تفاوت قیمت بازخرید و قیمت تمام شده آن را به صورت روزانه تحت عنوان قیمت کارشناسی تا تاریخ سررسید قرارداد لحاظ شده است.</t>
  </si>
  <si>
    <t>1000000.0000</t>
  </si>
  <si>
    <t>صادرات- 0406877164009</t>
  </si>
  <si>
    <t>مسکن 5600929334672</t>
  </si>
  <si>
    <t>اقتصادنوین - ۱۲۴.۲۸۳.۶۸۶۷۴۸۰.۳۶</t>
  </si>
  <si>
    <t>اقتصاد نوین34-6867480-283-124</t>
  </si>
  <si>
    <t>مسکن 5600929334698</t>
  </si>
  <si>
    <t>اقتصاد نوین - 124283686748037</t>
  </si>
  <si>
    <t>اقتصاد نوین33-6867480-283-124</t>
  </si>
  <si>
    <t>اقتصاد نوین- 124.283.6867480.35</t>
  </si>
  <si>
    <t>صادرات 0406881126006</t>
  </si>
  <si>
    <t>0406877164009</t>
  </si>
  <si>
    <t>5600929334672</t>
  </si>
  <si>
    <t>124283686748036</t>
  </si>
  <si>
    <t>124-283-6867480-34</t>
  </si>
  <si>
    <t>5600929334698</t>
  </si>
  <si>
    <t>124283686748037</t>
  </si>
  <si>
    <t>124-283-6867480-33</t>
  </si>
  <si>
    <t>124.283.6867480.35</t>
  </si>
  <si>
    <t>0406881126006</t>
  </si>
  <si>
    <t>1402/08/30</t>
  </si>
  <si>
    <t>مرابحه عام دولت3-ش.خ 0303 (اراد33)</t>
  </si>
  <si>
    <t>صکوک مرابحه غدیر504-3ماهه18% (صغدیر504)</t>
  </si>
  <si>
    <t>1399/03/27</t>
  </si>
  <si>
    <t>1401/04/07</t>
  </si>
  <si>
    <t>1403/03/27</t>
  </si>
  <si>
    <t>1405/04/07</t>
  </si>
  <si>
    <t>صکوک مرابحه غدیر504-3ماهه18%</t>
  </si>
  <si>
    <t>بانک اقتصاد نوین 124283686748038</t>
  </si>
  <si>
    <t>پاسارگاد 2093071522726814</t>
  </si>
  <si>
    <t>پاسارگاد 2093071522726813</t>
  </si>
  <si>
    <t>پاسارگاد- 2093071522726815</t>
  </si>
  <si>
    <t>پاسارگاد 209306152272682</t>
  </si>
  <si>
    <t>124283686748038</t>
  </si>
  <si>
    <t>2093071522726814</t>
  </si>
  <si>
    <t>2093071522726813</t>
  </si>
  <si>
    <t>2093071522726815</t>
  </si>
  <si>
    <t>209306152272682</t>
  </si>
  <si>
    <t>1405/08/03</t>
  </si>
  <si>
    <t>1404/04/17</t>
  </si>
  <si>
    <t>منتهی به 1402/09/30</t>
  </si>
  <si>
    <t>برای ماه منتهی به 1402/09/30</t>
  </si>
  <si>
    <t>1402/09/30</t>
  </si>
  <si>
    <t>طی آذر ماه</t>
  </si>
  <si>
    <t>از ابتدای سال مالی تا پایان آذر ماه</t>
  </si>
  <si>
    <t>مرابحه عام دولت142-ش.خ031009 (اراد142)</t>
  </si>
  <si>
    <t>1402/08/09</t>
  </si>
  <si>
    <t>1403/10/09</t>
  </si>
  <si>
    <t>15.00</t>
  </si>
  <si>
    <t>18.00</t>
  </si>
  <si>
    <t>18.50</t>
  </si>
  <si>
    <t>20.50</t>
  </si>
  <si>
    <t>964,100</t>
  </si>
  <si>
    <t>927,000</t>
  </si>
  <si>
    <t>1,034,733</t>
  </si>
  <si>
    <t>978,800</t>
  </si>
  <si>
    <t xml:space="preserve">پاسارگاد کوتاه مدت 2098100152272681	</t>
  </si>
  <si>
    <t>تجارت کوتاه مدت 104458815</t>
  </si>
  <si>
    <t>اقتصاد نوین 124283686748039</t>
  </si>
  <si>
    <t>پاسارگاد 2093071522726816</t>
  </si>
  <si>
    <t>بانک شهر 7001003214661</t>
  </si>
  <si>
    <t>پاسارگاد 209306152272683</t>
  </si>
  <si>
    <t>بانک صادرات 0406996080002</t>
  </si>
  <si>
    <t>تجارت بلندمدت 6174547090</t>
  </si>
  <si>
    <t>پاسارگاد 2093071522726817</t>
  </si>
  <si>
    <t>بانک شهر 4001003077600</t>
  </si>
  <si>
    <t>بانک شهر 7001003214649</t>
  </si>
  <si>
    <t>2098100152272681</t>
  </si>
  <si>
    <t>104458815</t>
  </si>
  <si>
    <t>124283686748039</t>
  </si>
  <si>
    <t>2093071522726816</t>
  </si>
  <si>
    <t>7001003214661</t>
  </si>
  <si>
    <t>209306152272683</t>
  </si>
  <si>
    <t>0406996080002</t>
  </si>
  <si>
    <t>6174547090</t>
  </si>
  <si>
    <t>2093071522726817</t>
  </si>
  <si>
    <t>4001003077600</t>
  </si>
  <si>
    <t>7001003214649</t>
  </si>
  <si>
    <t>23.00</t>
  </si>
  <si>
    <t>17.00</t>
  </si>
  <si>
    <t>16.00</t>
  </si>
  <si>
    <t>از ابتدای سال مالی تا آذر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</si>
</sst>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69" formatCode="0.0%"/>
    <numFmt numFmtId="170" formatCode="_(* #,##0.00000000_);_(* \(#,##0.00000000\);_(* &quot;-&quot;??_);_(@_)"/>
  </numFmts>
  <fonts count="6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6"/>
      <color rgb="FFFF0000"/>
      <name val="B Mitra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1"/>
      <color rgb="FFFF0000"/>
      <name val="B Nazanin"/>
      <charset val="178"/>
    </font>
    <font>
      <b/>
      <sz val="9"/>
      <color rgb="FF00A651"/>
      <name val="IranSansFaNum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EBEBEB"/>
      </left>
      <right style="medium">
        <color rgb="FFEBEBEB"/>
      </right>
      <top style="medium">
        <color rgb="FFEBEBEB"/>
      </top>
      <bottom style="medium">
        <color rgb="FFEBEBEB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79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164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0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right" vertical="center" readingOrder="2"/>
    </xf>
    <xf numFmtId="164" fontId="6" fillId="0" borderId="2" xfId="1" applyNumberFormat="1" applyFont="1" applyFill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4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4" fontId="20" fillId="0" borderId="0" xfId="1" applyNumberFormat="1" applyFont="1" applyAlignment="1">
      <alignment vertical="center"/>
    </xf>
    <xf numFmtId="164" fontId="20" fillId="0" borderId="8" xfId="1" applyNumberFormat="1" applyFont="1" applyBorder="1" applyAlignment="1">
      <alignment vertical="center"/>
    </xf>
    <xf numFmtId="164" fontId="20" fillId="0" borderId="0" xfId="1" applyNumberFormat="1" applyFont="1" applyAlignment="1">
      <alignment horizontal="center" vertical="center" wrapText="1" shrinkToFit="1"/>
    </xf>
    <xf numFmtId="164" fontId="15" fillId="0" borderId="0" xfId="1" applyNumberFormat="1" applyFont="1" applyAlignment="1">
      <alignment vertical="center"/>
    </xf>
    <xf numFmtId="164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10" fontId="8" fillId="0" borderId="0" xfId="2" applyNumberFormat="1" applyFont="1" applyAlignment="1">
      <alignment horizontal="center" vertical="center"/>
    </xf>
    <xf numFmtId="164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5" fontId="41" fillId="0" borderId="0" xfId="1" applyNumberFormat="1" applyFont="1" applyAlignment="1">
      <alignment vertical="center"/>
    </xf>
    <xf numFmtId="165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0" fontId="8" fillId="0" borderId="0" xfId="0" applyNumberFormat="1" applyFont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164" fontId="6" fillId="0" borderId="0" xfId="1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37" fontId="13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  <xf numFmtId="164" fontId="6" fillId="0" borderId="0" xfId="1" applyNumberFormat="1" applyFont="1" applyFill="1" applyAlignment="1">
      <alignment horizontal="center" vertical="center"/>
    </xf>
    <xf numFmtId="164" fontId="20" fillId="0" borderId="1" xfId="1" applyNumberFormat="1" applyFont="1" applyFill="1" applyBorder="1"/>
    <xf numFmtId="164" fontId="18" fillId="0" borderId="1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10" fontId="13" fillId="0" borderId="8" xfId="2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164" fontId="10" fillId="0" borderId="0" xfId="1" applyNumberFormat="1" applyFont="1" applyFill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164" fontId="15" fillId="0" borderId="4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164" fontId="20" fillId="0" borderId="0" xfId="1" applyNumberFormat="1" applyFont="1" applyFill="1"/>
    <xf numFmtId="164" fontId="42" fillId="0" borderId="0" xfId="1" applyNumberFormat="1" applyFont="1" applyFill="1" applyAlignment="1">
      <alignment vertical="center"/>
    </xf>
    <xf numFmtId="164" fontId="10" fillId="0" borderId="0" xfId="1" applyNumberFormat="1" applyFont="1" applyFill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164" fontId="10" fillId="0" borderId="0" xfId="1" applyNumberFormat="1" applyFont="1" applyFill="1" applyBorder="1" applyAlignment="1">
      <alignment vertical="center"/>
    </xf>
    <xf numFmtId="164" fontId="14" fillId="0" borderId="0" xfId="1" applyNumberFormat="1" applyFont="1" applyFill="1"/>
    <xf numFmtId="165" fontId="14" fillId="0" borderId="0" xfId="1" applyNumberFormat="1" applyFont="1" applyFill="1"/>
    <xf numFmtId="164" fontId="49" fillId="0" borderId="0" xfId="1" applyNumberFormat="1" applyFont="1" applyFill="1" applyAlignment="1">
      <alignment vertical="center"/>
    </xf>
    <xf numFmtId="164" fontId="15" fillId="0" borderId="0" xfId="1" applyNumberFormat="1" applyFont="1" applyFill="1" applyAlignment="1">
      <alignment vertical="center"/>
    </xf>
    <xf numFmtId="164" fontId="31" fillId="0" borderId="0" xfId="1" applyNumberFormat="1" applyFont="1" applyFill="1" applyBorder="1" applyAlignment="1">
      <alignment vertical="center" wrapText="1" readingOrder="2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9" fontId="10" fillId="0" borderId="0" xfId="2" applyFont="1" applyFill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Alignment="1">
      <alignment horizontal="right" vertical="center"/>
    </xf>
    <xf numFmtId="164" fontId="20" fillId="0" borderId="0" xfId="1" applyNumberFormat="1" applyFont="1" applyFill="1" applyBorder="1" applyAlignment="1">
      <alignment vertical="center" wrapText="1"/>
    </xf>
    <xf numFmtId="169" fontId="10" fillId="0" borderId="0" xfId="2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horizontal="right" vertical="center"/>
    </xf>
    <xf numFmtId="164" fontId="12" fillId="0" borderId="0" xfId="1" applyNumberFormat="1" applyFont="1" applyFill="1" applyAlignment="1">
      <alignment horizontal="center"/>
    </xf>
    <xf numFmtId="164" fontId="9" fillId="0" borderId="0" xfId="1" applyNumberFormat="1" applyFont="1" applyFill="1" applyAlignment="1"/>
    <xf numFmtId="166" fontId="48" fillId="0" borderId="0" xfId="1" applyNumberFormat="1" applyFont="1" applyFill="1" applyAlignment="1">
      <alignment horizontal="left" vertical="center" wrapText="1" shrinkToFit="1"/>
    </xf>
    <xf numFmtId="164" fontId="48" fillId="0" borderId="0" xfId="1" applyNumberFormat="1" applyFont="1" applyFill="1" applyAlignment="1">
      <alignment horizontal="left" vertical="center" wrapText="1" shrinkToFit="1"/>
    </xf>
    <xf numFmtId="167" fontId="48" fillId="0" borderId="0" xfId="1" applyNumberFormat="1" applyFont="1" applyFill="1" applyAlignment="1">
      <alignment horizontal="left" vertical="center" wrapText="1" shrinkToFit="1"/>
    </xf>
    <xf numFmtId="164" fontId="45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164" fontId="10" fillId="0" borderId="8" xfId="1" applyNumberFormat="1" applyFont="1" applyFill="1" applyBorder="1" applyAlignment="1">
      <alignment vertical="center"/>
    </xf>
    <xf numFmtId="9" fontId="39" fillId="0" borderId="2" xfId="2" applyFont="1" applyFill="1" applyBorder="1" applyAlignment="1">
      <alignment horizontal="center" vertical="center" wrapText="1" readingOrder="2"/>
    </xf>
    <xf numFmtId="164" fontId="9" fillId="0" borderId="0" xfId="1" applyNumberFormat="1" applyFont="1" applyFill="1" applyAlignment="1">
      <alignment horizontal="center" vertical="center" wrapText="1" readingOrder="2"/>
    </xf>
    <xf numFmtId="164" fontId="8" fillId="0" borderId="0" xfId="1" applyNumberFormat="1" applyFont="1" applyFill="1" applyAlignment="1">
      <alignment horizontal="center" vertical="center"/>
    </xf>
    <xf numFmtId="41" fontId="10" fillId="0" borderId="0" xfId="1" applyNumberFormat="1" applyFont="1" applyFill="1" applyBorder="1" applyAlignment="1">
      <alignment horizontal="center" vertical="center"/>
    </xf>
    <xf numFmtId="170" fontId="59" fillId="0" borderId="0" xfId="1" applyNumberFormat="1" applyFont="1" applyFill="1" applyAlignment="1">
      <alignment vertical="center"/>
    </xf>
    <xf numFmtId="10" fontId="20" fillId="0" borderId="0" xfId="1" applyNumberFormat="1" applyFont="1" applyFill="1" applyAlignment="1">
      <alignment horizontal="center" vertical="center"/>
    </xf>
    <xf numFmtId="169" fontId="20" fillId="0" borderId="0" xfId="1" applyNumberFormat="1" applyFont="1" applyFill="1" applyAlignment="1">
      <alignment horizontal="center" vertical="center"/>
    </xf>
    <xf numFmtId="3" fontId="60" fillId="0" borderId="0" xfId="0" applyNumberFormat="1" applyFont="1"/>
    <xf numFmtId="165" fontId="22" fillId="0" borderId="0" xfId="1" applyNumberFormat="1" applyFont="1" applyFill="1" applyBorder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readingOrder="2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7" fontId="34" fillId="0" borderId="0" xfId="0" quotePrefix="1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169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45" fillId="0" borderId="0" xfId="0" applyFont="1"/>
    <xf numFmtId="37" fontId="44" fillId="0" borderId="0" xfId="0" applyNumberFormat="1" applyFont="1" applyAlignment="1">
      <alignment horizontal="right" vertical="center"/>
    </xf>
    <xf numFmtId="37" fontId="44" fillId="0" borderId="16" xfId="0" applyNumberFormat="1" applyFont="1" applyBorder="1" applyAlignment="1">
      <alignment horizontal="center" vertical="center"/>
    </xf>
    <xf numFmtId="0" fontId="45" fillId="0" borderId="3" xfId="0" applyFont="1" applyBorder="1"/>
    <xf numFmtId="37" fontId="44" fillId="0" borderId="3" xfId="0" applyNumberFormat="1" applyFont="1" applyBorder="1" applyAlignment="1">
      <alignment horizontal="center" vertical="center" wrapText="1"/>
    </xf>
    <xf numFmtId="37" fontId="44" fillId="0" borderId="15" xfId="0" applyNumberFormat="1" applyFont="1" applyBorder="1" applyAlignment="1">
      <alignment horizontal="center" vertical="center" wrapText="1"/>
    </xf>
    <xf numFmtId="37" fontId="46" fillId="0" borderId="18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/>
    </xf>
    <xf numFmtId="164" fontId="46" fillId="0" borderId="9" xfId="0" applyNumberFormat="1" applyFont="1" applyBorder="1" applyAlignment="1">
      <alignment horizontal="left" vertical="center" wrapText="1" shrinkToFit="1"/>
    </xf>
    <xf numFmtId="164" fontId="46" fillId="0" borderId="9" xfId="0" applyNumberFormat="1" applyFont="1" applyBorder="1" applyAlignment="1">
      <alignment horizontal="right" vertical="center" wrapText="1" shrinkToFit="1"/>
    </xf>
    <xf numFmtId="168" fontId="46" fillId="0" borderId="0" xfId="0" applyNumberFormat="1" applyFont="1" applyAlignment="1">
      <alignment horizontal="center" vertical="center" wrapText="1" shrinkToFit="1"/>
    </xf>
    <xf numFmtId="0" fontId="48" fillId="0" borderId="0" xfId="0" applyFont="1"/>
    <xf numFmtId="164" fontId="45" fillId="0" borderId="0" xfId="0" applyNumberFormat="1" applyFont="1" applyAlignment="1">
      <alignment vertical="center"/>
    </xf>
    <xf numFmtId="37" fontId="46" fillId="0" borderId="20" xfId="0" applyNumberFormat="1" applyFont="1" applyBorder="1" applyAlignment="1">
      <alignment horizontal="right" vertical="center" wrapText="1"/>
    </xf>
    <xf numFmtId="164" fontId="46" fillId="0" borderId="0" xfId="0" applyNumberFormat="1" applyFont="1" applyAlignment="1">
      <alignment horizontal="left" vertical="center" wrapText="1" shrinkToFit="1"/>
    </xf>
    <xf numFmtId="164" fontId="46" fillId="0" borderId="0" xfId="0" applyNumberFormat="1" applyFont="1" applyAlignment="1">
      <alignment horizontal="right" vertical="center" wrapText="1" shrinkToFit="1"/>
    </xf>
    <xf numFmtId="164" fontId="0" fillId="0" borderId="0" xfId="0" applyNumberFormat="1"/>
    <xf numFmtId="0" fontId="0" fillId="0" borderId="0" xfId="0" applyAlignment="1">
      <alignment horizontal="right"/>
    </xf>
    <xf numFmtId="3" fontId="43" fillId="0" borderId="0" xfId="0" applyNumberFormat="1" applyFont="1"/>
    <xf numFmtId="0" fontId="16" fillId="0" borderId="0" xfId="0" applyFont="1"/>
    <xf numFmtId="0" fontId="20" fillId="0" borderId="0" xfId="0" applyFont="1"/>
    <xf numFmtId="0" fontId="20" fillId="0" borderId="1" xfId="0" applyFont="1" applyBorder="1"/>
    <xf numFmtId="10" fontId="20" fillId="0" borderId="1" xfId="0" applyNumberFormat="1" applyFont="1" applyBorder="1"/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vertical="center" wrapText="1" readingOrder="2"/>
    </xf>
    <xf numFmtId="0" fontId="20" fillId="0" borderId="0" xfId="0" applyFont="1" applyAlignment="1">
      <alignment vertical="center" wrapText="1"/>
    </xf>
    <xf numFmtId="0" fontId="58" fillId="0" borderId="0" xfId="0" applyFont="1"/>
    <xf numFmtId="0" fontId="20" fillId="0" borderId="0" xfId="0" applyFont="1" applyAlignment="1">
      <alignment vertical="center" wrapText="1" readingOrder="2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vertical="center" wrapText="1" readingOrder="2"/>
    </xf>
    <xf numFmtId="37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164" fontId="20" fillId="0" borderId="0" xfId="0" applyNumberFormat="1" applyFont="1"/>
    <xf numFmtId="10" fontId="16" fillId="0" borderId="0" xfId="0" applyNumberFormat="1" applyFont="1"/>
    <xf numFmtId="0" fontId="35" fillId="0" borderId="0" xfId="0" applyFont="1" applyAlignment="1">
      <alignment horizontal="center"/>
    </xf>
    <xf numFmtId="3" fontId="35" fillId="0" borderId="0" xfId="0" applyNumberFormat="1" applyFont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19" fillId="0" borderId="0" xfId="0" applyFont="1" applyAlignment="1">
      <alignment vertical="center" readingOrder="2"/>
    </xf>
    <xf numFmtId="38" fontId="14" fillId="0" borderId="0" xfId="0" applyNumberFormat="1" applyFont="1"/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164" fontId="20" fillId="0" borderId="1" xfId="1" applyNumberFormat="1" applyFont="1" applyFill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164" fontId="18" fillId="0" borderId="0" xfId="1" applyNumberFormat="1" applyFont="1" applyFill="1" applyAlignment="1">
      <alignment horizontal="right" vertical="center" readingOrder="2"/>
    </xf>
    <xf numFmtId="43" fontId="18" fillId="0" borderId="0" xfId="1" applyFont="1" applyFill="1" applyAlignment="1">
      <alignment horizontal="center" vertical="center" wrapText="1" shrinkToFit="1" readingOrder="2"/>
    </xf>
    <xf numFmtId="0" fontId="18" fillId="0" borderId="0" xfId="0" applyFont="1" applyAlignment="1">
      <alignment horizontal="center" vertical="center" readingOrder="2"/>
    </xf>
    <xf numFmtId="40" fontId="18" fillId="0" borderId="0" xfId="0" applyNumberFormat="1" applyFont="1" applyAlignment="1">
      <alignment horizontal="center" vertical="center" wrapText="1" readingOrder="2"/>
    </xf>
    <xf numFmtId="164" fontId="52" fillId="0" borderId="0" xfId="0" applyNumberFormat="1" applyFont="1" applyAlignment="1">
      <alignment vertical="center" wrapText="1" shrinkToFit="1"/>
    </xf>
    <xf numFmtId="164" fontId="18" fillId="0" borderId="1" xfId="1" applyNumberFormat="1" applyFont="1" applyFill="1" applyBorder="1" applyAlignment="1">
      <alignment horizontal="right" vertical="center" readingOrder="2"/>
    </xf>
    <xf numFmtId="0" fontId="20" fillId="0" borderId="0" xfId="0" applyFont="1" applyAlignment="1">
      <alignment horizontal="right" vertical="center"/>
    </xf>
    <xf numFmtId="38" fontId="18" fillId="0" borderId="10" xfId="0" applyNumberFormat="1" applyFont="1" applyBorder="1" applyAlignment="1">
      <alignment horizontal="right" vertical="center" readingOrder="2"/>
    </xf>
    <xf numFmtId="1" fontId="18" fillId="0" borderId="2" xfId="0" applyNumberFormat="1" applyFont="1" applyBorder="1" applyAlignment="1">
      <alignment horizontal="center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4" fillId="0" borderId="0" xfId="0" applyFont="1" applyAlignment="1">
      <alignment horizontal="right" vertical="center"/>
    </xf>
    <xf numFmtId="3" fontId="54" fillId="0" borderId="0" xfId="0" applyNumberFormat="1" applyFont="1"/>
    <xf numFmtId="164" fontId="14" fillId="0" borderId="0" xfId="1" applyNumberFormat="1" applyFont="1" applyFill="1" applyAlignment="1"/>
    <xf numFmtId="164" fontId="14" fillId="0" borderId="0" xfId="0" applyNumberFormat="1" applyFont="1"/>
    <xf numFmtId="3" fontId="14" fillId="0" borderId="0" xfId="0" applyNumberFormat="1" applyFont="1"/>
    <xf numFmtId="164" fontId="53" fillId="0" borderId="0" xfId="1" applyNumberFormat="1" applyFont="1" applyFill="1" applyAlignment="1"/>
    <xf numFmtId="164" fontId="35" fillId="0" borderId="0" xfId="0" applyNumberFormat="1" applyFont="1" applyAlignment="1">
      <alignment vertical="center" wrapText="1"/>
    </xf>
    <xf numFmtId="0" fontId="36" fillId="0" borderId="0" xfId="0" applyFont="1"/>
    <xf numFmtId="3" fontId="36" fillId="0" borderId="0" xfId="0" applyNumberFormat="1" applyFont="1"/>
    <xf numFmtId="2" fontId="10" fillId="0" borderId="9" xfId="0" applyNumberFormat="1" applyFont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4" fontId="10" fillId="0" borderId="0" xfId="0" applyNumberFormat="1" applyFont="1"/>
    <xf numFmtId="37" fontId="2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27" fillId="0" borderId="0" xfId="1" applyNumberFormat="1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horizontal="right" vertical="center" wrapText="1" readingOrder="2"/>
    </xf>
    <xf numFmtId="0" fontId="10" fillId="0" borderId="0" xfId="0" applyFont="1" applyAlignment="1">
      <alignment vertical="center" wrapText="1"/>
    </xf>
    <xf numFmtId="164" fontId="18" fillId="0" borderId="8" xfId="1" applyNumberFormat="1" applyFont="1" applyFill="1" applyBorder="1" applyAlignment="1">
      <alignment vertical="center"/>
    </xf>
    <xf numFmtId="3" fontId="10" fillId="0" borderId="0" xfId="0" applyNumberFormat="1" applyFont="1"/>
    <xf numFmtId="0" fontId="29" fillId="0" borderId="15" xfId="0" applyFont="1" applyBorder="1" applyAlignment="1">
      <alignment horizontal="center" vertical="center" wrapText="1" readingOrder="2"/>
    </xf>
    <xf numFmtId="37" fontId="32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 readingOrder="2"/>
    </xf>
    <xf numFmtId="0" fontId="18" fillId="0" borderId="0" xfId="0" applyFont="1"/>
    <xf numFmtId="0" fontId="29" fillId="0" borderId="1" xfId="0" applyFont="1" applyBorder="1" applyAlignment="1">
      <alignment horizontal="center" vertical="center" wrapText="1" readingOrder="2"/>
    </xf>
    <xf numFmtId="37" fontId="13" fillId="0" borderId="0" xfId="0" quotePrefix="1" applyNumberFormat="1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 readingOrder="2"/>
    </xf>
    <xf numFmtId="0" fontId="13" fillId="0" borderId="0" xfId="0" applyFont="1" applyAlignment="1">
      <alignment horizontal="right" vertical="center"/>
    </xf>
    <xf numFmtId="0" fontId="20" fillId="0" borderId="0" xfId="0" applyFont="1" applyAlignment="1">
      <alignment horizontal="right"/>
    </xf>
    <xf numFmtId="1" fontId="13" fillId="0" borderId="0" xfId="0" applyNumberFormat="1" applyFont="1" applyAlignment="1">
      <alignment horizontal="right" vertical="center"/>
    </xf>
    <xf numFmtId="0" fontId="35" fillId="2" borderId="0" xfId="0" applyFont="1" applyFill="1" applyAlignment="1">
      <alignment horizontal="center"/>
    </xf>
    <xf numFmtId="38" fontId="21" fillId="2" borderId="14" xfId="1" applyNumberFormat="1" applyFont="1" applyFill="1" applyBorder="1" applyAlignment="1">
      <alignment horizontal="right" vertical="center" readingOrder="2"/>
    </xf>
    <xf numFmtId="0" fontId="37" fillId="2" borderId="0" xfId="0" applyFont="1" applyFill="1" applyAlignment="1">
      <alignment horizontal="right" vertical="center" readingOrder="2"/>
    </xf>
    <xf numFmtId="164" fontId="50" fillId="2" borderId="0" xfId="0" applyNumberFormat="1" applyFont="1" applyFill="1" applyAlignment="1">
      <alignment horizontal="center" vertical="center" wrapText="1"/>
    </xf>
    <xf numFmtId="0" fontId="51" fillId="2" borderId="0" xfId="0" applyFont="1" applyFill="1" applyAlignment="1">
      <alignment horizontal="center" vertical="center" wrapText="1"/>
    </xf>
    <xf numFmtId="164" fontId="52" fillId="2" borderId="0" xfId="0" applyNumberFormat="1" applyFont="1" applyFill="1" applyAlignment="1">
      <alignment vertical="center" wrapText="1" shrinkToFit="1"/>
    </xf>
    <xf numFmtId="164" fontId="10" fillId="0" borderId="0" xfId="1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right" vertical="center" wrapText="1"/>
    </xf>
    <xf numFmtId="0" fontId="10" fillId="0" borderId="0" xfId="0" quotePrefix="1" applyFont="1" applyAlignment="1">
      <alignment horizontal="right" vertical="center"/>
    </xf>
    <xf numFmtId="0" fontId="10" fillId="0" borderId="0" xfId="0" applyFont="1" applyAlignment="1">
      <alignment vertical="center"/>
    </xf>
    <xf numFmtId="165" fontId="10" fillId="0" borderId="0" xfId="1" applyNumberFormat="1" applyFont="1" applyFill="1" applyAlignment="1"/>
    <xf numFmtId="165" fontId="10" fillId="0" borderId="0" xfId="1" applyNumberFormat="1" applyFont="1" applyFill="1" applyAlignment="1">
      <alignment vertical="center"/>
    </xf>
    <xf numFmtId="0" fontId="20" fillId="0" borderId="0" xfId="0" applyFont="1" applyAlignment="1">
      <alignment horizontal="center" vertical="center" wrapText="1" readingOrder="2"/>
    </xf>
    <xf numFmtId="37" fontId="44" fillId="0" borderId="17" xfId="0" applyNumberFormat="1" applyFont="1" applyBorder="1" applyAlignment="1">
      <alignment horizontal="center" vertical="center"/>
    </xf>
    <xf numFmtId="164" fontId="46" fillId="0" borderId="21" xfId="0" applyNumberFormat="1" applyFont="1" applyBorder="1" applyAlignment="1">
      <alignment horizontal="right" vertical="center" wrapText="1" shrinkToFit="1"/>
    </xf>
    <xf numFmtId="10" fontId="20" fillId="0" borderId="0" xfId="0" applyNumberFormat="1" applyFont="1" applyAlignment="1">
      <alignment vertical="center" wrapText="1" readingOrder="2"/>
    </xf>
    <xf numFmtId="164" fontId="20" fillId="0" borderId="2" xfId="1" applyNumberFormat="1" applyFont="1" applyFill="1" applyBorder="1" applyAlignment="1">
      <alignment horizontal="center" vertical="center" readingOrder="2"/>
    </xf>
    <xf numFmtId="9" fontId="20" fillId="0" borderId="0" xfId="1" applyNumberFormat="1" applyFont="1" applyFill="1" applyAlignment="1">
      <alignment horizontal="center" vertical="center"/>
    </xf>
    <xf numFmtId="164" fontId="10" fillId="0" borderId="22" xfId="1" applyNumberFormat="1" applyFont="1" applyFill="1" applyBorder="1" applyAlignment="1">
      <alignment vertical="center"/>
    </xf>
    <xf numFmtId="3" fontId="10" fillId="0" borderId="0" xfId="0" applyNumberFormat="1" applyFont="1" applyAlignment="1">
      <alignment horizontal="right" vertical="center" indent="1"/>
    </xf>
    <xf numFmtId="3" fontId="10" fillId="0" borderId="22" xfId="0" applyNumberFormat="1" applyFont="1" applyBorder="1" applyAlignment="1">
      <alignment horizontal="right" vertical="center" indent="1"/>
    </xf>
    <xf numFmtId="0" fontId="57" fillId="0" borderId="1" xfId="0" applyFont="1" applyBorder="1" applyAlignment="1">
      <alignment horizontal="center" vertical="center" wrapText="1" readingOrder="2"/>
    </xf>
    <xf numFmtId="0" fontId="57" fillId="0" borderId="1" xfId="0" applyFont="1" applyBorder="1" applyAlignment="1">
      <alignment vertical="center" wrapText="1" readingOrder="2"/>
    </xf>
    <xf numFmtId="37" fontId="32" fillId="3" borderId="0" xfId="0" applyNumberFormat="1" applyFont="1" applyFill="1" applyAlignment="1">
      <alignment horizontal="center" vertical="center" wrapText="1"/>
    </xf>
    <xf numFmtId="37" fontId="32" fillId="0" borderId="0" xfId="0" applyNumberFormat="1" applyFont="1" applyFill="1" applyAlignment="1">
      <alignment horizontal="center" vertical="center" wrapText="1"/>
    </xf>
    <xf numFmtId="0" fontId="14" fillId="0" borderId="0" xfId="0" applyFont="1" applyFill="1"/>
    <xf numFmtId="1" fontId="13" fillId="0" borderId="0" xfId="0" applyNumberFormat="1" applyFont="1" applyFill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 indent="1"/>
    </xf>
    <xf numFmtId="37" fontId="13" fillId="0" borderId="0" xfId="0" applyNumberFormat="1" applyFont="1" applyFill="1" applyAlignment="1">
      <alignment horizontal="center" vertical="center" wrapText="1"/>
    </xf>
    <xf numFmtId="0" fontId="10" fillId="0" borderId="0" xfId="0" applyFont="1" applyFill="1"/>
    <xf numFmtId="0" fontId="31" fillId="0" borderId="0" xfId="0" applyFont="1" applyFill="1" applyAlignment="1">
      <alignment horizontal="center" vertical="center" wrapText="1" readingOrder="2"/>
    </xf>
    <xf numFmtId="164" fontId="12" fillId="0" borderId="2" xfId="1" applyNumberFormat="1" applyFont="1" applyFill="1" applyBorder="1" applyAlignment="1">
      <alignment vertical="center"/>
    </xf>
    <xf numFmtId="164" fontId="6" fillId="0" borderId="0" xfId="0" applyNumberFormat="1" applyFont="1" applyFill="1" applyAlignment="1">
      <alignment horizontal="center" vertical="center" readingOrder="2"/>
    </xf>
    <xf numFmtId="164" fontId="6" fillId="0" borderId="2" xfId="0" applyNumberFormat="1" applyFont="1" applyFill="1" applyBorder="1" applyAlignment="1">
      <alignment horizontal="center" vertical="center" readingOrder="2"/>
    </xf>
    <xf numFmtId="0" fontId="12" fillId="0" borderId="0" xfId="0" applyFont="1" applyFill="1" applyAlignment="1">
      <alignment horizontal="center"/>
    </xf>
    <xf numFmtId="10" fontId="8" fillId="0" borderId="8" xfId="0" applyNumberFormat="1" applyFont="1" applyFill="1" applyBorder="1" applyAlignment="1">
      <alignment horizontal="center" vertical="center"/>
    </xf>
    <xf numFmtId="164" fontId="46" fillId="0" borderId="19" xfId="0" applyNumberFormat="1" applyFont="1" applyFill="1" applyBorder="1" applyAlignment="1">
      <alignment horizontal="right" vertical="center" wrapText="1" shrinkToFit="1"/>
    </xf>
    <xf numFmtId="164" fontId="46" fillId="0" borderId="21" xfId="0" applyNumberFormat="1" applyFont="1" applyFill="1" applyBorder="1" applyAlignment="1">
      <alignment horizontal="right" vertical="center" wrapText="1" shrinkToFit="1"/>
    </xf>
    <xf numFmtId="0" fontId="20" fillId="0" borderId="0" xfId="0" applyFont="1" applyFill="1"/>
    <xf numFmtId="0" fontId="10" fillId="0" borderId="0" xfId="0" applyFont="1" applyFill="1" applyAlignment="1">
      <alignment horizontal="center" vertical="center" wrapText="1"/>
    </xf>
    <xf numFmtId="37" fontId="27" fillId="0" borderId="0" xfId="0" applyNumberFormat="1" applyFont="1" applyFill="1" applyAlignment="1">
      <alignment horizontal="center" vertical="center"/>
    </xf>
    <xf numFmtId="164" fontId="14" fillId="0" borderId="0" xfId="0" applyNumberFormat="1" applyFont="1" applyFill="1"/>
    <xf numFmtId="164" fontId="22" fillId="0" borderId="8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horizontal="left" vertical="center"/>
    </xf>
    <xf numFmtId="164" fontId="18" fillId="0" borderId="8" xfId="1" applyNumberFormat="1" applyFont="1" applyFill="1" applyBorder="1" applyAlignment="1">
      <alignment horizontal="left" vertical="center"/>
    </xf>
    <xf numFmtId="165" fontId="20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64" fontId="22" fillId="0" borderId="8" xfId="1" applyNumberFormat="1" applyFont="1" applyFill="1" applyBorder="1" applyAlignment="1">
      <alignment horizontal="center" vertical="center"/>
    </xf>
    <xf numFmtId="164" fontId="12" fillId="0" borderId="8" xfId="1" applyNumberFormat="1" applyFont="1" applyFill="1" applyBorder="1" applyAlignment="1">
      <alignment horizontal="center" vertical="center"/>
    </xf>
    <xf numFmtId="164" fontId="12" fillId="0" borderId="8" xfId="1" applyNumberFormat="1" applyFont="1" applyFill="1" applyBorder="1" applyAlignment="1">
      <alignment vertical="center"/>
    </xf>
    <xf numFmtId="0" fontId="33" fillId="0" borderId="0" xfId="0" applyFont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wrapText="1" readingOrder="2"/>
    </xf>
    <xf numFmtId="164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 readingOrder="2"/>
    </xf>
    <xf numFmtId="164" fontId="6" fillId="0" borderId="0" xfId="1" applyNumberFormat="1" applyFont="1" applyBorder="1" applyAlignment="1">
      <alignment horizontal="center" vertical="center" readingOrder="2"/>
    </xf>
    <xf numFmtId="0" fontId="7" fillId="0" borderId="0" xfId="0" applyFont="1" applyAlignment="1">
      <alignment horizontal="right" vertical="center" readingOrder="2"/>
    </xf>
    <xf numFmtId="164" fontId="6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/>
    </xf>
    <xf numFmtId="37" fontId="44" fillId="0" borderId="0" xfId="0" applyNumberFormat="1" applyFont="1" applyAlignment="1">
      <alignment horizontal="right" vertical="center"/>
    </xf>
    <xf numFmtId="0" fontId="45" fillId="0" borderId="0" xfId="0" applyFont="1"/>
    <xf numFmtId="0" fontId="9" fillId="0" borderId="0" xfId="0" applyFont="1" applyFill="1" applyAlignment="1">
      <alignment horizontal="center"/>
    </xf>
    <xf numFmtId="0" fontId="18" fillId="0" borderId="1" xfId="0" applyFont="1" applyBorder="1" applyAlignment="1">
      <alignment horizontal="center" vertical="center" wrapText="1" readingOrder="2"/>
    </xf>
    <xf numFmtId="0" fontId="57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readingOrder="2"/>
    </xf>
    <xf numFmtId="0" fontId="20" fillId="0" borderId="3" xfId="0" applyFont="1" applyBorder="1" applyAlignment="1">
      <alignment horizontal="center" vertical="center" readingOrder="2"/>
    </xf>
    <xf numFmtId="0" fontId="20" fillId="0" borderId="1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wrapText="1" readingOrder="2"/>
    </xf>
    <xf numFmtId="0" fontId="20" fillId="0" borderId="1" xfId="0" applyFont="1" applyBorder="1" applyAlignment="1">
      <alignment horizontal="center" vertical="center" wrapText="1" readingOrder="2"/>
    </xf>
    <xf numFmtId="164" fontId="20" fillId="0" borderId="0" xfId="1" applyNumberFormat="1" applyFont="1" applyFill="1" applyBorder="1" applyAlignment="1">
      <alignment horizontal="center" vertical="center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wrapText="1"/>
    </xf>
    <xf numFmtId="10" fontId="20" fillId="0" borderId="0" xfId="0" applyNumberFormat="1" applyFont="1" applyAlignment="1">
      <alignment horizontal="center" vertical="center" wrapText="1"/>
    </xf>
    <xf numFmtId="10" fontId="20" fillId="0" borderId="1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Font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15" fillId="0" borderId="1" xfId="0" applyFont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165" fontId="22" fillId="0" borderId="1" xfId="1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164" fontId="15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9" fillId="0" borderId="4" xfId="0" applyFont="1" applyBorder="1" applyAlignment="1">
      <alignment horizontal="center" vertical="center" wrapText="1" readingOrder="2"/>
    </xf>
    <xf numFmtId="164" fontId="18" fillId="0" borderId="4" xfId="1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10">
    <dxf>
      <fill>
        <patternFill patternType="solid">
          <fgColor rgb="FF92D05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</xdr:row>
      <xdr:rowOff>95250</xdr:rowOff>
    </xdr:from>
    <xdr:to>
      <xdr:col>8</xdr:col>
      <xdr:colOff>466725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342875" y="1628775"/>
          <a:ext cx="5172075" cy="2619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51954</xdr:colOff>
      <xdr:row>36</xdr:row>
      <xdr:rowOff>17318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174A022-1FE0-0A43-8778-7C8AD4F20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5431001" y="0"/>
          <a:ext cx="5507181" cy="7879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8:M31"/>
  <sheetViews>
    <sheetView rightToLeft="1" tabSelected="1" view="pageBreakPreview" topLeftCell="A7" zoomScale="90" zoomScaleNormal="100" zoomScaleSheetLayoutView="90" workbookViewId="0">
      <selection activeCell="J5" sqref="J5"/>
    </sheetView>
  </sheetViews>
  <sheetFormatPr defaultColWidth="9.140625" defaultRowHeight="17.25"/>
  <cols>
    <col min="1" max="16384" width="9.140625" style="7"/>
  </cols>
  <sheetData>
    <row r="18" spans="1:13">
      <c r="M18" s="7" t="s">
        <v>58</v>
      </c>
    </row>
    <row r="24" spans="1:13" ht="15" customHeight="1">
      <c r="A24" s="285" t="s">
        <v>73</v>
      </c>
      <c r="B24" s="285"/>
      <c r="C24" s="285"/>
      <c r="D24" s="285"/>
      <c r="E24" s="285"/>
      <c r="F24" s="285"/>
      <c r="G24" s="285"/>
      <c r="H24" s="285"/>
      <c r="I24" s="285"/>
      <c r="J24" s="285"/>
      <c r="K24" s="18"/>
      <c r="L24" s="18"/>
    </row>
    <row r="25" spans="1:13" ht="15" customHeight="1">
      <c r="A25" s="285"/>
      <c r="B25" s="285"/>
      <c r="C25" s="285"/>
      <c r="D25" s="285"/>
      <c r="E25" s="285"/>
      <c r="F25" s="285"/>
      <c r="G25" s="285"/>
      <c r="H25" s="285"/>
      <c r="I25" s="285"/>
      <c r="J25" s="285"/>
      <c r="K25" s="18"/>
      <c r="L25" s="18"/>
    </row>
    <row r="26" spans="1:13" ht="15" customHeight="1">
      <c r="A26" s="285"/>
      <c r="B26" s="285"/>
      <c r="C26" s="285"/>
      <c r="D26" s="285"/>
      <c r="E26" s="285"/>
      <c r="F26" s="285"/>
      <c r="G26" s="285"/>
      <c r="H26" s="285"/>
      <c r="I26" s="285"/>
      <c r="J26" s="285"/>
      <c r="K26" s="18"/>
      <c r="L26" s="18"/>
    </row>
    <row r="28" spans="1:13" ht="15" customHeight="1">
      <c r="A28" s="285" t="s">
        <v>323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5"/>
    </row>
    <row r="29" spans="1:13" ht="15" customHeight="1">
      <c r="A29" s="285"/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5"/>
    </row>
    <row r="30" spans="1:13" ht="15" customHeight="1">
      <c r="A30" s="285"/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</row>
    <row r="31" spans="1:13" ht="15" customHeight="1">
      <c r="A31" s="285"/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  <pageSetUpPr fitToPage="1"/>
  </sheetPr>
  <dimension ref="A1:Q23"/>
  <sheetViews>
    <sheetView rightToLeft="1" view="pageBreakPreview" topLeftCell="B1" zoomScale="90" zoomScaleNormal="100" zoomScaleSheetLayoutView="90" workbookViewId="0">
      <selection activeCell="R1" sqref="R1:T1048576"/>
    </sheetView>
  </sheetViews>
  <sheetFormatPr defaultColWidth="9.140625" defaultRowHeight="21.75"/>
  <cols>
    <col min="1" max="1" width="33.5703125" style="7" customWidth="1"/>
    <col min="2" max="2" width="0.5703125" style="7" customWidth="1"/>
    <col min="3" max="3" width="17.7109375" style="12" bestFit="1" customWidth="1"/>
    <col min="4" max="4" width="0.85546875" style="12" customWidth="1"/>
    <col min="5" max="5" width="26.28515625" style="12" customWidth="1"/>
    <col min="6" max="6" width="0.85546875" style="12" customWidth="1"/>
    <col min="7" max="7" width="26.42578125" style="12" customWidth="1"/>
    <col min="8" max="8" width="0.7109375" style="12" customWidth="1"/>
    <col min="9" max="9" width="30.28515625" style="12" bestFit="1" customWidth="1"/>
    <col min="10" max="10" width="1.42578125" style="12" customWidth="1"/>
    <col min="11" max="11" width="15.85546875" style="12" customWidth="1"/>
    <col min="12" max="12" width="1.140625" style="12" customWidth="1"/>
    <col min="13" max="13" width="25.7109375" style="12" bestFit="1" customWidth="1"/>
    <col min="14" max="14" width="1" style="12" customWidth="1"/>
    <col min="15" max="15" width="27" style="12" bestFit="1" customWidth="1"/>
    <col min="16" max="16" width="1.140625" style="12" customWidth="1"/>
    <col min="17" max="17" width="25.7109375" style="12" bestFit="1" customWidth="1"/>
    <col min="18" max="16384" width="9.140625" style="7"/>
  </cols>
  <sheetData>
    <row r="1" spans="1:17" ht="22.5">
      <c r="A1" s="337" t="s">
        <v>89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</row>
    <row r="2" spans="1:17" ht="22.5">
      <c r="A2" s="337" t="s">
        <v>56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</row>
    <row r="3" spans="1:17" ht="22.5">
      <c r="A3" s="337" t="str">
        <f>' سهام'!A3:W3</f>
        <v>برای ماه منتهی به 1402/09/30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</row>
    <row r="4" spans="1:17">
      <c r="A4" s="323" t="s">
        <v>62</v>
      </c>
      <c r="B4" s="323"/>
      <c r="C4" s="323"/>
      <c r="D4" s="323"/>
      <c r="E4" s="323"/>
      <c r="F4" s="323"/>
      <c r="G4" s="323"/>
      <c r="H4" s="323"/>
    </row>
    <row r="5" spans="1:17" s="211" customFormat="1" ht="16.5" customHeight="1" thickBot="1">
      <c r="A5" s="179"/>
      <c r="B5" s="179"/>
      <c r="C5" s="351" t="s">
        <v>326</v>
      </c>
      <c r="D5" s="351"/>
      <c r="E5" s="351"/>
      <c r="F5" s="351"/>
      <c r="G5" s="351"/>
      <c r="H5" s="351"/>
      <c r="I5" s="351"/>
      <c r="J5" s="81"/>
      <c r="K5" s="346" t="s">
        <v>327</v>
      </c>
      <c r="L5" s="346"/>
      <c r="M5" s="346"/>
      <c r="N5" s="346"/>
      <c r="O5" s="346"/>
      <c r="P5" s="346"/>
      <c r="Q5" s="346"/>
    </row>
    <row r="6" spans="1:17" s="211" customFormat="1" ht="27" customHeight="1" thickBot="1">
      <c r="A6" s="179" t="s">
        <v>38</v>
      </c>
      <c r="B6" s="179"/>
      <c r="C6" s="91" t="s">
        <v>3</v>
      </c>
      <c r="D6" s="81"/>
      <c r="E6" s="92" t="s">
        <v>21</v>
      </c>
      <c r="F6" s="81"/>
      <c r="G6" s="91" t="s">
        <v>42</v>
      </c>
      <c r="H6" s="81"/>
      <c r="I6" s="92" t="s">
        <v>43</v>
      </c>
      <c r="J6" s="81"/>
      <c r="K6" s="91" t="s">
        <v>3</v>
      </c>
      <c r="L6" s="81"/>
      <c r="M6" s="92" t="s">
        <v>21</v>
      </c>
      <c r="N6" s="81"/>
      <c r="O6" s="91" t="s">
        <v>42</v>
      </c>
      <c r="P6" s="81"/>
      <c r="Q6" s="92" t="s">
        <v>43</v>
      </c>
    </row>
    <row r="7" spans="1:17" s="211" customFormat="1" ht="27" customHeight="1">
      <c r="A7" s="179" t="s">
        <v>328</v>
      </c>
      <c r="B7" s="179"/>
      <c r="C7" s="94">
        <v>505000</v>
      </c>
      <c r="D7" s="81"/>
      <c r="E7" s="111">
        <v>494204409213</v>
      </c>
      <c r="F7" s="81"/>
      <c r="G7" s="94">
        <v>-490678000000</v>
      </c>
      <c r="H7" s="81"/>
      <c r="I7" s="95">
        <f>E7+G7</f>
        <v>3526409213</v>
      </c>
      <c r="J7" s="81"/>
      <c r="K7" s="94">
        <v>505000</v>
      </c>
      <c r="L7" s="111"/>
      <c r="M7" s="95">
        <v>494204409213</v>
      </c>
      <c r="N7" s="95"/>
      <c r="O7" s="95">
        <v>-490678000000</v>
      </c>
      <c r="P7" s="111"/>
      <c r="Q7" s="111">
        <f>M7+O7</f>
        <v>3526409213</v>
      </c>
    </row>
    <row r="8" spans="1:17" s="211" customFormat="1" ht="27" customHeight="1">
      <c r="A8" s="179" t="s">
        <v>102</v>
      </c>
      <c r="B8" s="179"/>
      <c r="C8" s="94">
        <v>0</v>
      </c>
      <c r="D8" s="81"/>
      <c r="E8" s="111">
        <v>0</v>
      </c>
      <c r="F8" s="81"/>
      <c r="G8" s="94">
        <v>-12313967689</v>
      </c>
      <c r="H8" s="81"/>
      <c r="I8" s="95">
        <f t="shared" ref="I8:I12" si="0">E8+G8</f>
        <v>-12313967689</v>
      </c>
      <c r="J8" s="81"/>
      <c r="K8" s="94">
        <v>0</v>
      </c>
      <c r="L8" s="111"/>
      <c r="M8" s="95">
        <v>0</v>
      </c>
      <c r="N8" s="95"/>
      <c r="O8" s="95">
        <v>0</v>
      </c>
      <c r="P8" s="111"/>
      <c r="Q8" s="111">
        <v>0</v>
      </c>
    </row>
    <row r="9" spans="1:17" s="211" customFormat="1" ht="27" customHeight="1">
      <c r="A9" s="179" t="s">
        <v>231</v>
      </c>
      <c r="B9" s="179"/>
      <c r="C9" s="94">
        <v>500000</v>
      </c>
      <c r="D9" s="81"/>
      <c r="E9" s="95">
        <v>463415990625</v>
      </c>
      <c r="F9" s="81"/>
      <c r="G9" s="94">
        <v>-465402247126</v>
      </c>
      <c r="H9" s="81"/>
      <c r="I9" s="95">
        <f t="shared" si="0"/>
        <v>-1986256501</v>
      </c>
      <c r="J9" s="81"/>
      <c r="K9" s="94">
        <v>500000</v>
      </c>
      <c r="L9" s="81"/>
      <c r="M9" s="95">
        <v>463415990625</v>
      </c>
      <c r="N9" s="81"/>
      <c r="O9" s="94">
        <v>-464615384615</v>
      </c>
      <c r="P9" s="81"/>
      <c r="Q9" s="111">
        <f t="shared" ref="Q9:Q12" si="1">M9+O9</f>
        <v>-1199393990</v>
      </c>
    </row>
    <row r="10" spans="1:17" s="211" customFormat="1" ht="27" customHeight="1">
      <c r="A10" s="179" t="s">
        <v>305</v>
      </c>
      <c r="B10" s="179"/>
      <c r="C10" s="94">
        <v>723000</v>
      </c>
      <c r="D10" s="81"/>
      <c r="E10" s="95">
        <v>747976363711</v>
      </c>
      <c r="F10" s="81"/>
      <c r="G10" s="94">
        <v>-742468825132</v>
      </c>
      <c r="H10" s="81"/>
      <c r="I10" s="95">
        <f t="shared" si="0"/>
        <v>5507538579</v>
      </c>
      <c r="J10" s="81"/>
      <c r="K10" s="94">
        <v>723000</v>
      </c>
      <c r="L10" s="81"/>
      <c r="M10" s="95">
        <v>747976363711</v>
      </c>
      <c r="N10" s="81"/>
      <c r="O10" s="94">
        <v>-739073488003</v>
      </c>
      <c r="P10" s="81"/>
      <c r="Q10" s="111">
        <f t="shared" si="1"/>
        <v>8902875708</v>
      </c>
    </row>
    <row r="11" spans="1:17" s="211" customFormat="1" ht="27" customHeight="1">
      <c r="A11" s="179" t="s">
        <v>117</v>
      </c>
      <c r="B11" s="179"/>
      <c r="C11" s="94">
        <v>0</v>
      </c>
      <c r="D11" s="81"/>
      <c r="E11" s="95">
        <v>0</v>
      </c>
      <c r="F11" s="81"/>
      <c r="G11" s="94">
        <v>-5125672909</v>
      </c>
      <c r="H11" s="81"/>
      <c r="I11" s="95">
        <f t="shared" si="0"/>
        <v>-5125672909</v>
      </c>
      <c r="J11" s="81"/>
      <c r="K11" s="94">
        <v>0</v>
      </c>
      <c r="L11" s="81"/>
      <c r="M11" s="95">
        <v>0</v>
      </c>
      <c r="N11" s="81"/>
      <c r="O11" s="94">
        <v>0</v>
      </c>
      <c r="P11" s="81"/>
      <c r="Q11" s="111"/>
    </row>
    <row r="12" spans="1:17" s="211" customFormat="1" ht="27" customHeight="1">
      <c r="A12" s="179" t="s">
        <v>304</v>
      </c>
      <c r="B12" s="179"/>
      <c r="C12" s="94">
        <v>198700</v>
      </c>
      <c r="D12" s="81"/>
      <c r="E12" s="95">
        <v>191531948543</v>
      </c>
      <c r="F12" s="81"/>
      <c r="G12" s="94">
        <v>-190002235853</v>
      </c>
      <c r="H12" s="81"/>
      <c r="I12" s="95">
        <f t="shared" si="0"/>
        <v>1529712690</v>
      </c>
      <c r="J12" s="81"/>
      <c r="K12" s="94">
        <v>198700</v>
      </c>
      <c r="L12" s="81"/>
      <c r="M12" s="95">
        <v>191531948543</v>
      </c>
      <c r="N12" s="81"/>
      <c r="O12" s="94">
        <v>-189187765685</v>
      </c>
      <c r="P12" s="81"/>
      <c r="Q12" s="111">
        <f t="shared" si="1"/>
        <v>2344182858</v>
      </c>
    </row>
    <row r="13" spans="1:17" s="211" customFormat="1" ht="23.25" thickBot="1">
      <c r="A13" s="179" t="s">
        <v>2</v>
      </c>
      <c r="B13" s="179"/>
      <c r="C13" s="280"/>
      <c r="D13" s="281"/>
      <c r="E13" s="282">
        <f>SUM(E7:E12)</f>
        <v>1897128712092</v>
      </c>
      <c r="F13" s="116"/>
      <c r="G13" s="282">
        <f>SUM(G7:G12)</f>
        <v>-1905990948709</v>
      </c>
      <c r="H13" s="116"/>
      <c r="I13" s="282">
        <f>SUM(I7:I12)</f>
        <v>-8862236617</v>
      </c>
      <c r="J13" s="116"/>
      <c r="K13" s="280"/>
      <c r="L13" s="116"/>
      <c r="M13" s="282">
        <f>SUM(M7:M12)</f>
        <v>1897128712092</v>
      </c>
      <c r="N13" s="116"/>
      <c r="O13" s="282">
        <f>SUM(O7:O12)</f>
        <v>-1883554638303</v>
      </c>
      <c r="P13" s="116"/>
      <c r="Q13" s="282">
        <f>SUM(Q7:Q12)</f>
        <v>13574073789</v>
      </c>
    </row>
    <row r="14" spans="1:17" s="211" customFormat="1" ht="22.5" thickTop="1">
      <c r="A14" s="179"/>
      <c r="B14" s="179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</row>
    <row r="15" spans="1:17" s="211" customFormat="1" ht="24.75" customHeight="1">
      <c r="A15" s="348" t="s">
        <v>44</v>
      </c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50"/>
    </row>
    <row r="16" spans="1:17" s="86" customFormat="1" ht="24">
      <c r="G16" s="72"/>
      <c r="I16" s="115"/>
      <c r="J16" s="85"/>
      <c r="K16" s="85"/>
      <c r="L16" s="85"/>
      <c r="M16" s="85"/>
      <c r="N16" s="85"/>
      <c r="O16" s="85"/>
      <c r="P16" s="85"/>
      <c r="Q16" s="85"/>
    </row>
    <row r="17" spans="5:17" s="86" customFormat="1" ht="24">
      <c r="G17" s="157"/>
      <c r="Q17" s="79"/>
    </row>
    <row r="18" spans="5:17" s="86" customFormat="1" ht="24"/>
    <row r="19" spans="5:17" s="86" customFormat="1" ht="24"/>
    <row r="20" spans="5:17" s="86" customFormat="1" ht="24">
      <c r="I20" s="195"/>
    </row>
    <row r="21" spans="5:17" s="86" customFormat="1" ht="24">
      <c r="M21" s="195"/>
    </row>
    <row r="22" spans="5:17" s="86" customFormat="1" ht="30.75">
      <c r="E22" s="64"/>
    </row>
    <row r="23" spans="5:17" s="86" customFormat="1" ht="24"/>
  </sheetData>
  <autoFilter ref="A6:Q6" xr:uid="{00000000-0009-0000-0000-000009000000}">
    <sortState xmlns:xlrd2="http://schemas.microsoft.com/office/spreadsheetml/2017/richdata2" ref="A7:Q33">
      <sortCondition descending="1" ref="Q6"/>
    </sortState>
  </autoFilter>
  <mergeCells count="7">
    <mergeCell ref="A15:Q15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F0"/>
    <pageSetUpPr fitToPage="1"/>
  </sheetPr>
  <dimension ref="A1:U20"/>
  <sheetViews>
    <sheetView rightToLeft="1" view="pageBreakPreview" zoomScale="60" zoomScaleNormal="100" workbookViewId="0">
      <selection activeCell="A5" sqref="A5:U5"/>
    </sheetView>
  </sheetViews>
  <sheetFormatPr defaultColWidth="9.140625" defaultRowHeight="15"/>
  <cols>
    <col min="1" max="1" width="49.85546875" style="38" customWidth="1"/>
    <col min="2" max="2" width="1.28515625" style="38" customWidth="1"/>
    <col min="3" max="3" width="26.5703125" style="45" customWidth="1"/>
    <col min="4" max="4" width="1" style="38" customWidth="1"/>
    <col min="5" max="5" width="28.42578125" style="46" customWidth="1"/>
    <col min="6" max="6" width="1.42578125" style="46" customWidth="1"/>
    <col min="7" max="7" width="26.5703125" style="46" customWidth="1"/>
    <col min="8" max="8" width="1" style="47" customWidth="1"/>
    <col min="9" max="9" width="28.42578125" style="47" customWidth="1"/>
    <col min="10" max="10" width="2" style="47" customWidth="1"/>
    <col min="11" max="11" width="28.5703125" style="48" customWidth="1"/>
    <col min="12" max="12" width="1.5703125" style="38" customWidth="1"/>
    <col min="13" max="13" width="28.42578125" style="45" bestFit="1" customWidth="1"/>
    <col min="14" max="14" width="0.85546875" style="45" customWidth="1"/>
    <col min="15" max="15" width="28.42578125" style="46" bestFit="1" customWidth="1"/>
    <col min="16" max="16" width="0.85546875" style="46" customWidth="1"/>
    <col min="17" max="17" width="28.42578125" style="46" bestFit="1" customWidth="1"/>
    <col min="18" max="18" width="0.85546875" style="46" customWidth="1"/>
    <col min="19" max="19" width="27.140625" style="46" customWidth="1"/>
    <col min="20" max="20" width="1.42578125" style="46" customWidth="1"/>
    <col min="21" max="21" width="29.85546875" style="48" customWidth="1"/>
    <col min="22" max="16384" width="9.140625" style="38"/>
  </cols>
  <sheetData>
    <row r="1" spans="1:21" ht="27.75">
      <c r="A1" s="359" t="s">
        <v>89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</row>
    <row r="2" spans="1:21" ht="27.75">
      <c r="A2" s="359" t="s">
        <v>56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</row>
    <row r="3" spans="1:21" ht="27.75">
      <c r="A3" s="359" t="str">
        <f>' سهام'!A3:W3</f>
        <v>برای ماه منتهی به 1402/09/30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</row>
    <row r="5" spans="1:21" s="39" customFormat="1" ht="24.75">
      <c r="A5" s="313" t="s">
        <v>28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</row>
    <row r="6" spans="1:21" s="39" customFormat="1" ht="9.75" customHeight="1">
      <c r="C6" s="35"/>
      <c r="E6" s="40"/>
      <c r="F6" s="40"/>
      <c r="G6" s="40"/>
      <c r="H6" s="41"/>
      <c r="I6" s="41"/>
      <c r="J6" s="41"/>
      <c r="K6" s="42"/>
      <c r="M6" s="35"/>
      <c r="N6" s="35"/>
      <c r="O6" s="40"/>
      <c r="P6" s="40"/>
      <c r="Q6" s="40"/>
      <c r="R6" s="40"/>
      <c r="S6" s="40"/>
      <c r="T6" s="40"/>
      <c r="U6" s="42"/>
    </row>
    <row r="7" spans="1:21" s="39" customFormat="1" ht="27" customHeight="1" thickBot="1">
      <c r="A7" s="43"/>
      <c r="B7" s="9"/>
      <c r="C7" s="352" t="s">
        <v>326</v>
      </c>
      <c r="D7" s="352"/>
      <c r="E7" s="352"/>
      <c r="F7" s="352"/>
      <c r="G7" s="352"/>
      <c r="H7" s="352"/>
      <c r="I7" s="352"/>
      <c r="J7" s="352"/>
      <c r="K7" s="352"/>
      <c r="L7" s="9"/>
      <c r="M7" s="352" t="s">
        <v>327</v>
      </c>
      <c r="N7" s="352"/>
      <c r="O7" s="352"/>
      <c r="P7" s="352"/>
      <c r="Q7" s="352"/>
      <c r="R7" s="352"/>
      <c r="S7" s="352"/>
      <c r="T7" s="352"/>
      <c r="U7" s="352"/>
    </row>
    <row r="8" spans="1:21" s="19" customFormat="1" ht="24.75" customHeight="1">
      <c r="A8" s="353" t="s">
        <v>24</v>
      </c>
      <c r="B8" s="353"/>
      <c r="C8" s="360" t="s">
        <v>12</v>
      </c>
      <c r="D8" s="355"/>
      <c r="E8" s="362" t="s">
        <v>13</v>
      </c>
      <c r="F8" s="356"/>
      <c r="G8" s="362" t="s">
        <v>14</v>
      </c>
      <c r="H8" s="368"/>
      <c r="I8" s="364" t="s">
        <v>2</v>
      </c>
      <c r="J8" s="364"/>
      <c r="K8" s="364"/>
      <c r="L8" s="353"/>
      <c r="M8" s="360" t="s">
        <v>12</v>
      </c>
      <c r="N8" s="365"/>
      <c r="O8" s="362" t="s">
        <v>13</v>
      </c>
      <c r="P8" s="356"/>
      <c r="Q8" s="362" t="s">
        <v>14</v>
      </c>
      <c r="R8" s="356"/>
      <c r="S8" s="364" t="s">
        <v>2</v>
      </c>
      <c r="T8" s="364"/>
      <c r="U8" s="364"/>
    </row>
    <row r="9" spans="1:21" s="19" customFormat="1" ht="6" customHeight="1" thickBot="1">
      <c r="A9" s="353"/>
      <c r="B9" s="353"/>
      <c r="C9" s="361"/>
      <c r="D9" s="353"/>
      <c r="E9" s="363"/>
      <c r="F9" s="357"/>
      <c r="G9" s="363"/>
      <c r="H9" s="369"/>
      <c r="I9" s="352"/>
      <c r="J9" s="352"/>
      <c r="K9" s="352"/>
      <c r="L9" s="353"/>
      <c r="M9" s="361"/>
      <c r="N9" s="366"/>
      <c r="O9" s="363"/>
      <c r="P9" s="357"/>
      <c r="Q9" s="363"/>
      <c r="R9" s="357"/>
      <c r="S9" s="352"/>
      <c r="T9" s="352"/>
      <c r="U9" s="352"/>
    </row>
    <row r="10" spans="1:21" s="19" customFormat="1" ht="42.75" customHeight="1" thickBot="1">
      <c r="A10" s="354"/>
      <c r="B10" s="353"/>
      <c r="C10" s="50" t="s">
        <v>59</v>
      </c>
      <c r="D10" s="353"/>
      <c r="E10" s="51" t="s">
        <v>60</v>
      </c>
      <c r="F10" s="358"/>
      <c r="G10" s="51" t="s">
        <v>61</v>
      </c>
      <c r="H10" s="369"/>
      <c r="I10" s="10" t="s">
        <v>6</v>
      </c>
      <c r="J10" s="10"/>
      <c r="K10" s="49" t="s">
        <v>19</v>
      </c>
      <c r="L10" s="353"/>
      <c r="M10" s="50" t="s">
        <v>59</v>
      </c>
      <c r="N10" s="367"/>
      <c r="O10" s="51" t="s">
        <v>60</v>
      </c>
      <c r="P10" s="358"/>
      <c r="Q10" s="51" t="s">
        <v>61</v>
      </c>
      <c r="R10" s="358"/>
      <c r="S10" s="11" t="s">
        <v>6</v>
      </c>
      <c r="T10" s="11"/>
      <c r="U10" s="49" t="s">
        <v>19</v>
      </c>
    </row>
    <row r="11" spans="1:21" s="20" customFormat="1" ht="30.75">
      <c r="A11" s="61" t="s">
        <v>92</v>
      </c>
      <c r="C11" s="30">
        <v>0</v>
      </c>
      <c r="D11" s="30"/>
      <c r="E11" s="30">
        <v>0</v>
      </c>
      <c r="F11" s="30"/>
      <c r="G11" s="30">
        <v>0</v>
      </c>
      <c r="H11" s="30"/>
      <c r="I11" s="24">
        <f>C11+E11+G11</f>
        <v>0</v>
      </c>
      <c r="K11" s="58">
        <v>0</v>
      </c>
      <c r="M11" s="30">
        <v>0</v>
      </c>
      <c r="N11" s="24"/>
      <c r="O11" s="24">
        <v>0</v>
      </c>
      <c r="P11" s="24"/>
      <c r="Q11" s="24">
        <v>0</v>
      </c>
      <c r="R11" s="24"/>
      <c r="S11" s="24">
        <f>M11+O11+Q11</f>
        <v>0</v>
      </c>
      <c r="T11" s="6"/>
      <c r="U11" s="58"/>
    </row>
    <row r="12" spans="1:21" s="44" customFormat="1" ht="25.5" customHeight="1" thickBot="1">
      <c r="C12" s="36">
        <f>SUM(C11:C11)</f>
        <v>0</v>
      </c>
      <c r="D12" s="59">
        <v>0</v>
      </c>
      <c r="E12" s="36">
        <f>SUM(E11:E11)</f>
        <v>0</v>
      </c>
      <c r="F12" s="59">
        <v>0</v>
      </c>
      <c r="G12" s="36">
        <f>SUM(G11:G11)</f>
        <v>0</v>
      </c>
      <c r="H12" s="59">
        <v>0</v>
      </c>
      <c r="I12" s="36">
        <f>SUM(I11:I11)</f>
        <v>0</v>
      </c>
      <c r="J12" s="37">
        <v>0</v>
      </c>
      <c r="K12" s="57">
        <f>SUM(K11:K11)</f>
        <v>0</v>
      </c>
      <c r="M12" s="36">
        <f>SUM(M11:M11)</f>
        <v>0</v>
      </c>
      <c r="N12" s="24"/>
      <c r="O12" s="36">
        <f>SUM(O11:O11)</f>
        <v>0</v>
      </c>
      <c r="P12" s="24"/>
      <c r="Q12" s="36">
        <f>SUM(Q11:Q11)</f>
        <v>0</v>
      </c>
      <c r="R12" s="24"/>
      <c r="S12" s="36">
        <f>SUM(S11:S11)</f>
        <v>0</v>
      </c>
      <c r="T12" s="37"/>
      <c r="U12" s="57">
        <f>SUM(U11:U11)</f>
        <v>0</v>
      </c>
    </row>
    <row r="13" spans="1:21" ht="25.5" customHeight="1" thickTop="1">
      <c r="D13" s="24">
        <v>0</v>
      </c>
      <c r="F13" s="24">
        <v>0</v>
      </c>
      <c r="H13" s="24">
        <v>0</v>
      </c>
      <c r="J13" s="6">
        <v>0</v>
      </c>
      <c r="L13" s="20"/>
      <c r="N13" s="24"/>
      <c r="O13" s="47"/>
      <c r="P13" s="24"/>
      <c r="Q13" s="47"/>
      <c r="R13" s="24"/>
      <c r="S13" s="47"/>
      <c r="T13" s="47"/>
    </row>
    <row r="14" spans="1:21" s="53" customFormat="1" ht="33"/>
    <row r="15" spans="1:21" s="53" customFormat="1" ht="33"/>
    <row r="16" spans="1:21" s="53" customFormat="1" ht="33"/>
    <row r="20" spans="4:8" ht="33">
      <c r="D20" s="54"/>
      <c r="E20" s="55"/>
      <c r="F20" s="55"/>
      <c r="G20" s="55"/>
      <c r="H20" s="56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  <mergeCell ref="M7:U7"/>
    <mergeCell ref="C7:K7"/>
    <mergeCell ref="L8:L10"/>
    <mergeCell ref="A8:A10"/>
    <mergeCell ref="B8:B10"/>
    <mergeCell ref="D8:D10"/>
    <mergeCell ref="F8:F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00B0F0"/>
    <pageSetUpPr fitToPage="1"/>
  </sheetPr>
  <dimension ref="A1:T26"/>
  <sheetViews>
    <sheetView rightToLeft="1" view="pageBreakPreview" zoomScale="85" zoomScaleNormal="100" zoomScaleSheetLayoutView="85" workbookViewId="0">
      <selection activeCell="A24" sqref="A24:XFD26"/>
    </sheetView>
  </sheetViews>
  <sheetFormatPr defaultColWidth="9.140625" defaultRowHeight="21.75"/>
  <cols>
    <col min="1" max="1" width="34.42578125" style="118" bestFit="1" customWidth="1"/>
    <col min="2" max="2" width="0.42578125" style="118" customWidth="1"/>
    <col min="3" max="3" width="21.140625" style="118" bestFit="1" customWidth="1"/>
    <col min="4" max="4" width="0.7109375" style="118" customWidth="1"/>
    <col min="5" max="5" width="20" style="118" bestFit="1" customWidth="1"/>
    <col min="6" max="6" width="0.5703125" style="118" customWidth="1"/>
    <col min="7" max="7" width="18.85546875" style="118" bestFit="1" customWidth="1"/>
    <col min="8" max="8" width="0.5703125" style="118" customWidth="1"/>
    <col min="9" max="9" width="22.85546875" style="118" bestFit="1" customWidth="1"/>
    <col min="10" max="10" width="0.42578125" style="118" customWidth="1"/>
    <col min="11" max="11" width="22.85546875" style="118" bestFit="1" customWidth="1"/>
    <col min="12" max="12" width="0.5703125" style="118" customWidth="1"/>
    <col min="13" max="13" width="21.140625" style="118" bestFit="1" customWidth="1"/>
    <col min="14" max="14" width="0.85546875" style="118" customWidth="1"/>
    <col min="15" max="15" width="21.140625" style="118" bestFit="1" customWidth="1"/>
    <col min="16" max="16" width="0.5703125" style="118" customWidth="1"/>
    <col min="17" max="17" width="22.85546875" style="118" bestFit="1" customWidth="1"/>
    <col min="18" max="18" width="9.140625" style="118"/>
    <col min="19" max="19" width="12.7109375" style="118" bestFit="1" customWidth="1"/>
    <col min="20" max="16384" width="9.140625" style="118"/>
  </cols>
  <sheetData>
    <row r="1" spans="1:17" ht="21" customHeight="1">
      <c r="A1" s="337" t="s">
        <v>89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</row>
    <row r="2" spans="1:17" ht="18" customHeight="1">
      <c r="A2" s="337" t="s">
        <v>56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</row>
    <row r="3" spans="1:17" ht="19.5" customHeight="1">
      <c r="A3" s="337" t="str">
        <f>' سهام'!A3:W3</f>
        <v>برای ماه منتهی به 1402/09/30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</row>
    <row r="4" spans="1:17">
      <c r="A4" s="323" t="s">
        <v>29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</row>
    <row r="5" spans="1:17" ht="4.5" customHeight="1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</row>
    <row r="6" spans="1:17" ht="22.5" customHeight="1" thickBot="1">
      <c r="A6" s="212"/>
      <c r="B6" s="213"/>
      <c r="C6" s="374" t="s">
        <v>326</v>
      </c>
      <c r="D6" s="374"/>
      <c r="E6" s="374"/>
      <c r="F6" s="374"/>
      <c r="G6" s="374"/>
      <c r="H6" s="374"/>
      <c r="I6" s="374"/>
      <c r="J6" s="164"/>
      <c r="K6" s="374" t="s">
        <v>327</v>
      </c>
      <c r="L6" s="374"/>
      <c r="M6" s="374"/>
      <c r="N6" s="374"/>
      <c r="O6" s="374"/>
      <c r="P6" s="374"/>
      <c r="Q6" s="374"/>
    </row>
    <row r="7" spans="1:17" ht="15.75" customHeight="1">
      <c r="A7" s="370"/>
      <c r="B7" s="371"/>
      <c r="C7" s="372" t="s">
        <v>15</v>
      </c>
      <c r="D7" s="372"/>
      <c r="E7" s="372" t="s">
        <v>13</v>
      </c>
      <c r="F7" s="370"/>
      <c r="G7" s="372" t="s">
        <v>14</v>
      </c>
      <c r="H7" s="370"/>
      <c r="I7" s="372" t="s">
        <v>2</v>
      </c>
      <c r="J7" s="214"/>
      <c r="K7" s="372" t="s">
        <v>15</v>
      </c>
      <c r="L7" s="372"/>
      <c r="M7" s="372" t="s">
        <v>13</v>
      </c>
      <c r="N7" s="370"/>
      <c r="O7" s="372" t="s">
        <v>14</v>
      </c>
      <c r="P7" s="370"/>
      <c r="Q7" s="372" t="s">
        <v>2</v>
      </c>
    </row>
    <row r="8" spans="1:17" ht="12" customHeight="1">
      <c r="A8" s="371"/>
      <c r="B8" s="371"/>
      <c r="C8" s="373"/>
      <c r="D8" s="373"/>
      <c r="E8" s="373"/>
      <c r="F8" s="371"/>
      <c r="G8" s="373"/>
      <c r="H8" s="371"/>
      <c r="I8" s="373"/>
      <c r="J8" s="214"/>
      <c r="K8" s="373"/>
      <c r="L8" s="373"/>
      <c r="M8" s="373"/>
      <c r="N8" s="371"/>
      <c r="O8" s="373"/>
      <c r="P8" s="371"/>
      <c r="Q8" s="373"/>
    </row>
    <row r="9" spans="1:17" ht="14.25" customHeight="1" thickBot="1">
      <c r="A9" s="371"/>
      <c r="B9" s="371"/>
      <c r="C9" s="215" t="s">
        <v>65</v>
      </c>
      <c r="D9" s="373"/>
      <c r="E9" s="215" t="s">
        <v>60</v>
      </c>
      <c r="F9" s="371"/>
      <c r="G9" s="215" t="s">
        <v>61</v>
      </c>
      <c r="H9" s="371"/>
      <c r="I9" s="374"/>
      <c r="J9" s="216"/>
      <c r="K9" s="215" t="s">
        <v>65</v>
      </c>
      <c r="L9" s="373"/>
      <c r="M9" s="215" t="s">
        <v>60</v>
      </c>
      <c r="N9" s="371"/>
      <c r="O9" s="215" t="s">
        <v>61</v>
      </c>
      <c r="P9" s="371"/>
      <c r="Q9" s="374"/>
    </row>
    <row r="10" spans="1:17" ht="27.75" customHeight="1">
      <c r="A10" s="164" t="s">
        <v>328</v>
      </c>
      <c r="B10" s="164"/>
      <c r="C10" s="72">
        <f>VLOOKUP(A10,'سود اوراق بهادار و سپرده بانکی'!$A$7:$K$116,11,0)</f>
        <v>4027884657</v>
      </c>
      <c r="D10" s="214"/>
      <c r="E10" s="72">
        <f>VLOOKUP('درآمد سرمایه گذاری در اوراق بها'!A10,'درآمد ناشی از تغییر قیمت اوراق '!$A$7:$I$12,9,0)</f>
        <v>3526409213</v>
      </c>
      <c r="F10" s="164"/>
      <c r="G10" s="72">
        <v>0</v>
      </c>
      <c r="H10" s="164"/>
      <c r="I10" s="72">
        <f>G10+E10+C10</f>
        <v>7554293870</v>
      </c>
      <c r="J10" s="216"/>
      <c r="K10" s="72">
        <f>VLOOKUP(A10,'سود اوراق بهادار و سپرده بانکی'!$A$7:$Q$116,17,0)</f>
        <v>4027884657</v>
      </c>
      <c r="L10" s="214"/>
      <c r="M10" s="72">
        <f>VLOOKUP(A10,'درآمد ناشی از تغییر قیمت اوراق '!$A$7:$Q$12,17,0)</f>
        <v>3526409213</v>
      </c>
      <c r="N10" s="164"/>
      <c r="O10" s="72">
        <v>0</v>
      </c>
      <c r="P10" s="164"/>
      <c r="Q10" s="72">
        <f>K10+M10+O10</f>
        <v>7554293870</v>
      </c>
    </row>
    <row r="11" spans="1:17" ht="27.75" customHeight="1">
      <c r="A11" s="169" t="s">
        <v>185</v>
      </c>
      <c r="B11" s="164"/>
      <c r="C11" s="72">
        <v>0</v>
      </c>
      <c r="D11" s="214"/>
      <c r="E11" s="72">
        <v>0</v>
      </c>
      <c r="F11" s="164"/>
      <c r="G11" s="72">
        <f>VLOOKUP(A11,'درآمد ناشی ازفروش'!$A$7:$I$15,9,0)</f>
        <v>0</v>
      </c>
      <c r="H11" s="164"/>
      <c r="I11" s="72">
        <f t="shared" ref="I11:I21" si="0">G11+E11+C11</f>
        <v>0</v>
      </c>
      <c r="J11" s="216"/>
      <c r="K11" s="72">
        <f>VLOOKUP(A11,'سود اوراق بهادار و سپرده بانکی'!$A$7:$Q$116,17,0)</f>
        <v>26850405289</v>
      </c>
      <c r="L11" s="214"/>
      <c r="M11" s="72">
        <v>0</v>
      </c>
      <c r="N11" s="164"/>
      <c r="O11" s="72">
        <f>VLOOKUP(A11,'درآمد ناشی ازفروش'!$A$7:$Q$15,17,0)</f>
        <v>10950050000</v>
      </c>
      <c r="P11" s="164"/>
      <c r="Q11" s="72">
        <f t="shared" ref="Q11:Q21" si="1">K11+M11+O11</f>
        <v>37800455289</v>
      </c>
    </row>
    <row r="12" spans="1:17" ht="21" customHeight="1">
      <c r="A12" s="169" t="s">
        <v>147</v>
      </c>
      <c r="B12" s="164"/>
      <c r="C12" s="72">
        <v>0</v>
      </c>
      <c r="D12" s="214"/>
      <c r="E12" s="72">
        <v>0</v>
      </c>
      <c r="F12" s="164"/>
      <c r="G12" s="72">
        <f>VLOOKUP(A12,'درآمد ناشی ازفروش'!$A$7:$I$15,9,0)</f>
        <v>0</v>
      </c>
      <c r="H12" s="164"/>
      <c r="I12" s="72">
        <f t="shared" si="0"/>
        <v>0</v>
      </c>
      <c r="J12" s="216"/>
      <c r="K12" s="72">
        <v>0</v>
      </c>
      <c r="L12" s="214"/>
      <c r="M12" s="72">
        <v>0</v>
      </c>
      <c r="N12" s="164"/>
      <c r="O12" s="72">
        <f>VLOOKUP(A12,'درآمد ناشی ازفروش'!$A$7:$Q$15,17,0)</f>
        <v>1039600129</v>
      </c>
      <c r="P12" s="164"/>
      <c r="Q12" s="72">
        <f t="shared" si="1"/>
        <v>1039600129</v>
      </c>
    </row>
    <row r="13" spans="1:17" ht="26.25" customHeight="1">
      <c r="A13" s="169" t="s">
        <v>102</v>
      </c>
      <c r="B13" s="164"/>
      <c r="C13" s="72">
        <f>VLOOKUP(A13,'سود اوراق بهادار و سپرده بانکی'!$A$7:$K$116,11,0)</f>
        <v>2168210675</v>
      </c>
      <c r="D13" s="214"/>
      <c r="E13" s="72">
        <f>VLOOKUP('درآمد سرمایه گذاری در اوراق بها'!A13,'درآمد ناشی از تغییر قیمت اوراق '!$A$7:$I$12,9,0)</f>
        <v>-12313967689</v>
      </c>
      <c r="F13" s="164"/>
      <c r="G13" s="72">
        <f>VLOOKUP(A13,'درآمد ناشی ازفروش'!$A$7:$I$15,9,0)</f>
        <v>13358789762</v>
      </c>
      <c r="H13" s="164"/>
      <c r="I13" s="72">
        <f t="shared" si="0"/>
        <v>3213032748</v>
      </c>
      <c r="J13" s="216"/>
      <c r="K13" s="72">
        <f>VLOOKUP(A13,'سود اوراق بهادار و سپرده بانکی'!$A$7:$Q$116,17,0)</f>
        <v>36076543752</v>
      </c>
      <c r="L13" s="214"/>
      <c r="M13" s="72">
        <f>VLOOKUP(A13,'درآمد ناشی از تغییر قیمت اوراق '!$A$7:$Q$12,17,0)</f>
        <v>0</v>
      </c>
      <c r="N13" s="164"/>
      <c r="O13" s="72">
        <f>VLOOKUP(A13,'درآمد ناشی ازفروش'!$A$7:$Q$15,17,0)</f>
        <v>13358789762</v>
      </c>
      <c r="P13" s="164"/>
      <c r="Q13" s="72">
        <f t="shared" si="1"/>
        <v>49435333514</v>
      </c>
    </row>
    <row r="14" spans="1:17" ht="26.25" customHeight="1">
      <c r="A14" s="169" t="s">
        <v>231</v>
      </c>
      <c r="B14" s="164"/>
      <c r="C14" s="72">
        <f>VLOOKUP(A14,'سود اوراق بهادار و سپرده بانکی'!$A$7:$K$116,11,0)</f>
        <v>8654014150</v>
      </c>
      <c r="D14" s="214"/>
      <c r="E14" s="72">
        <f>VLOOKUP('درآمد سرمایه گذاری در اوراق بها'!A14,'درآمد ناشی از تغییر قیمت اوراق '!$A$7:$I$12,9,0)</f>
        <v>-1986256501</v>
      </c>
      <c r="F14" s="164"/>
      <c r="G14" s="72">
        <f>VLOOKUP(A14,'درآمد ناشی ازفروش'!$A$7:$I$15,9,0)</f>
        <v>2282884613</v>
      </c>
      <c r="H14" s="164"/>
      <c r="I14" s="72">
        <f t="shared" si="0"/>
        <v>8950642262</v>
      </c>
      <c r="J14" s="216"/>
      <c r="K14" s="72">
        <f>VLOOKUP(A14,'سود اوراق بهادار و سپرده بانکی'!$A$7:$Q$116,17,0)</f>
        <v>34002346830</v>
      </c>
      <c r="L14" s="214"/>
      <c r="M14" s="72">
        <f>VLOOKUP(A14,'درآمد ناشی از تغییر قیمت اوراق '!$A$7:$Q$12,17,0)</f>
        <v>-1199393990</v>
      </c>
      <c r="N14" s="164"/>
      <c r="O14" s="72">
        <f>VLOOKUP(A14,'درآمد ناشی ازفروش'!$A$7:$Q$15,17,0)</f>
        <v>2282884613</v>
      </c>
      <c r="P14" s="164"/>
      <c r="Q14" s="72">
        <f t="shared" si="1"/>
        <v>35085837453</v>
      </c>
    </row>
    <row r="15" spans="1:17" ht="26.25" customHeight="1">
      <c r="A15" s="169" t="s">
        <v>148</v>
      </c>
      <c r="B15" s="164"/>
      <c r="C15" s="72">
        <f>VLOOKUP(A15,'سود اوراق بهادار و سپرده بانکی'!$A$7:$K$116,11,0)</f>
        <v>0</v>
      </c>
      <c r="D15" s="214"/>
      <c r="E15" s="72">
        <v>0</v>
      </c>
      <c r="F15" s="164"/>
      <c r="G15" s="72">
        <f>VLOOKUP(A15,'درآمد ناشی ازفروش'!$A$7:$I$15,9,0)</f>
        <v>0</v>
      </c>
      <c r="H15" s="164"/>
      <c r="I15" s="72">
        <f t="shared" si="0"/>
        <v>0</v>
      </c>
      <c r="J15" s="216"/>
      <c r="K15" s="72">
        <f>VLOOKUP(A15,'سود اوراق بهادار و سپرده بانکی'!$A$7:$Q$116,17,0)</f>
        <v>404041938</v>
      </c>
      <c r="L15" s="214"/>
      <c r="M15" s="72">
        <v>0</v>
      </c>
      <c r="N15" s="164"/>
      <c r="O15" s="72">
        <f>VLOOKUP(A15,'درآمد ناشی ازفروش'!$A$7:$Q$15,17,0)</f>
        <v>49500000</v>
      </c>
      <c r="P15" s="164"/>
      <c r="Q15" s="72">
        <f t="shared" si="1"/>
        <v>453541938</v>
      </c>
    </row>
    <row r="16" spans="1:17" ht="26.25" customHeight="1">
      <c r="A16" s="169" t="s">
        <v>305</v>
      </c>
      <c r="B16" s="164"/>
      <c r="C16" s="72">
        <f>VLOOKUP(A16,'سود اوراق بهادار و سپرده بانکی'!$A$7:$K$116,11,0)</f>
        <v>10945220686</v>
      </c>
      <c r="D16" s="214"/>
      <c r="E16" s="72">
        <f>VLOOKUP('درآمد سرمایه گذاری در اوراق بها'!A16,'درآمد ناشی از تغییر قیمت اوراق '!$A$7:$I$12,9,0)</f>
        <v>5507538579</v>
      </c>
      <c r="F16" s="164"/>
      <c r="G16" s="72">
        <v>0</v>
      </c>
      <c r="H16" s="164"/>
      <c r="I16" s="72">
        <f t="shared" si="0"/>
        <v>16452759265</v>
      </c>
      <c r="J16" s="216"/>
      <c r="K16" s="72">
        <f>VLOOKUP(A16,'سود اوراق بهادار و سپرده بانکی'!$A$7:$Q$116,17,0)</f>
        <v>19375975771</v>
      </c>
      <c r="L16" s="214"/>
      <c r="M16" s="72">
        <f>VLOOKUP(A16,'درآمد ناشی از تغییر قیمت اوراق '!$A$7:$Q$12,17,0)</f>
        <v>8902875708</v>
      </c>
      <c r="N16" s="164"/>
      <c r="O16" s="72">
        <v>0</v>
      </c>
      <c r="P16" s="164"/>
      <c r="Q16" s="72">
        <f t="shared" si="1"/>
        <v>28278851479</v>
      </c>
    </row>
    <row r="17" spans="1:20" ht="26.25" customHeight="1">
      <c r="A17" s="169" t="s">
        <v>117</v>
      </c>
      <c r="B17" s="164"/>
      <c r="C17" s="72">
        <f>VLOOKUP(A17,'سود اوراق بهادار و سپرده بانکی'!$A$7:$K$116,11,0)</f>
        <v>356822949</v>
      </c>
      <c r="D17" s="214"/>
      <c r="E17" s="72">
        <f>VLOOKUP('درآمد سرمایه گذاری در اوراق بها'!A17,'درآمد ناشی از تغییر قیمت اوراق '!$A$7:$I$12,9,0)</f>
        <v>-5125672909</v>
      </c>
      <c r="F17" s="164"/>
      <c r="G17" s="72">
        <f>VLOOKUP(A17,'درآمد ناشی ازفروش'!$A$7:$I$15,9,0)</f>
        <v>5243443270</v>
      </c>
      <c r="H17" s="164"/>
      <c r="I17" s="72">
        <f t="shared" si="0"/>
        <v>474593310</v>
      </c>
      <c r="J17" s="216"/>
      <c r="K17" s="72">
        <f>VLOOKUP(A17,'سود اوراق بهادار و سپرده بانکی'!$A$7:$Q$116,17,0)</f>
        <v>24541425674</v>
      </c>
      <c r="L17" s="214"/>
      <c r="M17" s="72">
        <f>VLOOKUP(A17,'درآمد ناشی از تغییر قیمت اوراق '!$A$7:$Q$12,17,0)</f>
        <v>0</v>
      </c>
      <c r="N17" s="164"/>
      <c r="O17" s="72">
        <f>VLOOKUP(A17,'درآمد ناشی ازفروش'!$A$7:$Q$15,17,0)</f>
        <v>5794654831</v>
      </c>
      <c r="P17" s="164"/>
      <c r="Q17" s="72">
        <f t="shared" si="1"/>
        <v>30336080505</v>
      </c>
    </row>
    <row r="18" spans="1:20" ht="27.75" customHeight="1">
      <c r="A18" s="169" t="s">
        <v>232</v>
      </c>
      <c r="B18" s="164"/>
      <c r="C18" s="72">
        <f>VLOOKUP(A18,'سود اوراق بهادار و سپرده بانکی'!$A$7:$K$116,11,0)</f>
        <v>0</v>
      </c>
      <c r="D18" s="214"/>
      <c r="E18" s="72">
        <v>0</v>
      </c>
      <c r="F18" s="164"/>
      <c r="G18" s="72">
        <f>VLOOKUP(A18,'درآمد ناشی ازفروش'!$A$7:$I$15,9,0)</f>
        <v>0</v>
      </c>
      <c r="H18" s="164"/>
      <c r="I18" s="72">
        <f t="shared" si="0"/>
        <v>0</v>
      </c>
      <c r="J18" s="216"/>
      <c r="K18" s="72">
        <f>VLOOKUP(A18,'سود اوراق بهادار و سپرده بانکی'!$A$7:$Q$116,17,0)</f>
        <v>3342773973</v>
      </c>
      <c r="L18" s="214"/>
      <c r="M18" s="72">
        <v>0</v>
      </c>
      <c r="N18" s="164"/>
      <c r="O18" s="72">
        <f>VLOOKUP(A18,'درآمد ناشی ازفروش'!$A$7:$Q$15,17,0)</f>
        <v>0</v>
      </c>
      <c r="P18" s="164"/>
      <c r="Q18" s="72">
        <f t="shared" si="1"/>
        <v>3342773973</v>
      </c>
    </row>
    <row r="19" spans="1:20" ht="27.75" customHeight="1">
      <c r="A19" s="169" t="s">
        <v>116</v>
      </c>
      <c r="B19" s="7"/>
      <c r="C19" s="72">
        <f>VLOOKUP(A19,'سود اوراق بهادار و سپرده بانکی'!$A$7:$K$116,11,0)</f>
        <v>0</v>
      </c>
      <c r="D19" s="72"/>
      <c r="E19" s="72">
        <v>0</v>
      </c>
      <c r="F19" s="72"/>
      <c r="G19" s="72">
        <f>VLOOKUP(A19,'درآمد ناشی ازفروش'!$A$7:$I$15,9,0)</f>
        <v>0</v>
      </c>
      <c r="H19" s="72"/>
      <c r="I19" s="72">
        <f t="shared" si="0"/>
        <v>0</v>
      </c>
      <c r="J19" s="72"/>
      <c r="K19" s="72">
        <f>VLOOKUP(A19,'سود اوراق بهادار و سپرده بانکی'!$A$7:$Q$116,17,0)</f>
        <v>32445693272</v>
      </c>
      <c r="L19" s="72"/>
      <c r="M19" s="72">
        <v>0</v>
      </c>
      <c r="N19" s="72"/>
      <c r="O19" s="72">
        <f>VLOOKUP(A19,'درآمد ناشی ازفروش'!$A$7:$Q$15,17,0)</f>
        <v>14798434341</v>
      </c>
      <c r="P19" s="72"/>
      <c r="Q19" s="72">
        <f t="shared" si="1"/>
        <v>47244127613</v>
      </c>
      <c r="T19" s="207"/>
    </row>
    <row r="20" spans="1:20" ht="27.75" customHeight="1">
      <c r="A20" s="169" t="s">
        <v>110</v>
      </c>
      <c r="B20" s="7"/>
      <c r="C20" s="72">
        <v>0</v>
      </c>
      <c r="D20" s="72"/>
      <c r="E20" s="72">
        <v>0</v>
      </c>
      <c r="F20" s="72"/>
      <c r="G20" s="72">
        <f>VLOOKUP(A20,'درآمد ناشی ازفروش'!$A$7:$I$15,9,0)</f>
        <v>0</v>
      </c>
      <c r="H20" s="72"/>
      <c r="I20" s="72">
        <f t="shared" si="0"/>
        <v>0</v>
      </c>
      <c r="J20" s="72"/>
      <c r="K20" s="72">
        <f>VLOOKUP(A20,'سود اوراق بهادار و سپرده بانکی'!$A$7:$Q$116,17,0)</f>
        <v>59103289518</v>
      </c>
      <c r="L20" s="72"/>
      <c r="M20" s="72">
        <v>0</v>
      </c>
      <c r="N20" s="72"/>
      <c r="O20" s="72">
        <f>VLOOKUP(A20,'درآمد ناشی ازفروش'!$A$7:$Q$15,17,0)</f>
        <v>14606615871</v>
      </c>
      <c r="P20" s="72"/>
      <c r="Q20" s="72">
        <f t="shared" si="1"/>
        <v>73709905389</v>
      </c>
      <c r="T20" s="207"/>
    </row>
    <row r="21" spans="1:20" ht="21" customHeight="1">
      <c r="A21" s="169" t="s">
        <v>304</v>
      </c>
      <c r="B21" s="7"/>
      <c r="C21" s="72">
        <f>VLOOKUP(A21,'سود اوراق بهادار و سپرده بانکی'!$A$7:$K$116,11,0)</f>
        <v>2573420458</v>
      </c>
      <c r="D21" s="72"/>
      <c r="E21" s="72">
        <f>VLOOKUP('درآمد سرمایه گذاری در اوراق بها'!A21,'درآمد ناشی از تغییر قیمت اوراق '!$A$7:$I$12,9,0)</f>
        <v>1529712690</v>
      </c>
      <c r="F21" s="72"/>
      <c r="G21" s="72">
        <v>0</v>
      </c>
      <c r="H21" s="72"/>
      <c r="I21" s="72">
        <f t="shared" si="0"/>
        <v>4103133148</v>
      </c>
      <c r="J21" s="72"/>
      <c r="K21" s="72">
        <f>VLOOKUP(A21,'سود اوراق بهادار و سپرده بانکی'!$A$7:$Q$116,17,0)</f>
        <v>4233078110</v>
      </c>
      <c r="L21" s="72"/>
      <c r="M21" s="72">
        <f>VLOOKUP(A21,'درآمد ناشی از تغییر قیمت اوراق '!$A$7:$Q$12,17,0)</f>
        <v>2344182858</v>
      </c>
      <c r="N21" s="72"/>
      <c r="O21" s="72">
        <v>0</v>
      </c>
      <c r="P21" s="72"/>
      <c r="Q21" s="72">
        <f t="shared" si="1"/>
        <v>6577260968</v>
      </c>
      <c r="T21" s="207"/>
    </row>
    <row r="22" spans="1:20" ht="21" customHeight="1" thickBot="1">
      <c r="A22" s="217" t="s">
        <v>2</v>
      </c>
      <c r="B22" s="218"/>
      <c r="C22" s="219">
        <f>SUM(C10:C21)</f>
        <v>28725573575</v>
      </c>
      <c r="D22" s="87">
        <f t="shared" ref="D22:P22" si="2">SUM(D19:D19)</f>
        <v>0</v>
      </c>
      <c r="E22" s="219">
        <f>SUM(E10:E21)</f>
        <v>-8862236617</v>
      </c>
      <c r="F22" s="87">
        <f t="shared" si="2"/>
        <v>0</v>
      </c>
      <c r="G22" s="219">
        <f>SUM(G10:G21)</f>
        <v>20885117645</v>
      </c>
      <c r="H22" s="87">
        <f t="shared" si="2"/>
        <v>0</v>
      </c>
      <c r="I22" s="219">
        <f>SUM(I10:I21)</f>
        <v>40748454603</v>
      </c>
      <c r="J22" s="87">
        <f t="shared" si="2"/>
        <v>0</v>
      </c>
      <c r="K22" s="219">
        <f>SUM(K10:K21)</f>
        <v>244403458784</v>
      </c>
      <c r="L22" s="87">
        <f t="shared" si="2"/>
        <v>0</v>
      </c>
      <c r="M22" s="219">
        <f>SUM(M10:M21)</f>
        <v>13574073789</v>
      </c>
      <c r="N22" s="87">
        <f t="shared" si="2"/>
        <v>0</v>
      </c>
      <c r="O22" s="219">
        <f>SUM(O10:O21)</f>
        <v>62880529547</v>
      </c>
      <c r="P22" s="87">
        <f t="shared" si="2"/>
        <v>0</v>
      </c>
      <c r="Q22" s="219">
        <f>SUM(Q10:Q21)</f>
        <v>320858062120</v>
      </c>
    </row>
    <row r="23" spans="1:20" ht="22.5" thickTop="1">
      <c r="A23" s="159"/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</row>
    <row r="24" spans="1:20">
      <c r="C24" s="207"/>
      <c r="E24" s="207"/>
      <c r="I24" s="207"/>
      <c r="O24" s="207"/>
    </row>
    <row r="25" spans="1:20">
      <c r="O25" s="220"/>
      <c r="Q25" s="220"/>
    </row>
    <row r="26" spans="1:20">
      <c r="O26" s="207"/>
      <c r="Q26" s="207"/>
    </row>
  </sheetData>
  <autoFilter ref="A9:Q9" xr:uid="{00000000-0009-0000-0000-00000B000000}">
    <sortState xmlns:xlrd2="http://schemas.microsoft.com/office/spreadsheetml/2017/richdata2" ref="A12:Q12">
      <sortCondition descending="1" ref="O9"/>
    </sortState>
  </autoFilter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25" right="0.25" top="0.75" bottom="0.75" header="0.3" footer="0.3"/>
  <pageSetup paperSize="9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00B0F0"/>
    <pageSetUpPr fitToPage="1"/>
  </sheetPr>
  <dimension ref="A1:L108"/>
  <sheetViews>
    <sheetView rightToLeft="1" view="pageBreakPreview" topLeftCell="D1" zoomScaleNormal="100" zoomScaleSheetLayoutView="100" workbookViewId="0">
      <selection activeCell="G112" sqref="G112"/>
    </sheetView>
  </sheetViews>
  <sheetFormatPr defaultColWidth="9.140625" defaultRowHeight="21.75"/>
  <cols>
    <col min="1" max="1" width="43" style="118" customWidth="1"/>
    <col min="2" max="2" width="0.7109375" style="118" customWidth="1"/>
    <col min="3" max="3" width="22.85546875" style="118" customWidth="1"/>
    <col min="4" max="4" width="0.7109375" style="118" customWidth="1"/>
    <col min="5" max="5" width="18.42578125" style="73" customWidth="1"/>
    <col min="6" max="6" width="1.42578125" style="73" customWidth="1"/>
    <col min="7" max="7" width="21.7109375" style="73" customWidth="1"/>
    <col min="8" max="8" width="1.42578125" style="73" customWidth="1"/>
    <col min="9" max="9" width="19.5703125" style="73" customWidth="1"/>
    <col min="10" max="10" width="1.28515625" style="118" customWidth="1"/>
    <col min="11" max="11" width="22" style="118" customWidth="1"/>
    <col min="12" max="12" width="0.7109375" style="118" customWidth="1"/>
    <col min="13" max="16384" width="9.140625" style="118"/>
  </cols>
  <sheetData>
    <row r="1" spans="1:12" ht="22.5">
      <c r="A1" s="337" t="s">
        <v>89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1:12" ht="22.5">
      <c r="A2" s="337" t="s">
        <v>56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</row>
    <row r="3" spans="1:12" ht="22.5">
      <c r="A3" s="337" t="str">
        <f>' سهام'!A3:W3</f>
        <v>برای ماه منتهی به 1402/09/30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</row>
    <row r="4" spans="1:12">
      <c r="A4" s="323" t="s">
        <v>30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</row>
    <row r="5" spans="1:12" ht="22.5" thickBot="1">
      <c r="A5" s="160"/>
      <c r="B5" s="160"/>
      <c r="C5" s="160"/>
      <c r="D5" s="159"/>
      <c r="E5" s="65"/>
      <c r="F5" s="65"/>
      <c r="G5" s="65"/>
      <c r="H5" s="65"/>
      <c r="I5" s="65"/>
      <c r="J5" s="160"/>
      <c r="K5" s="160"/>
      <c r="L5" s="160"/>
    </row>
    <row r="6" spans="1:12" ht="37.5" customHeight="1" thickBot="1">
      <c r="A6" s="375" t="s">
        <v>20</v>
      </c>
      <c r="B6" s="375"/>
      <c r="C6" s="375"/>
      <c r="D6" s="164"/>
      <c r="E6" s="376" t="s">
        <v>326</v>
      </c>
      <c r="F6" s="376"/>
      <c r="G6" s="376"/>
      <c r="H6" s="376"/>
      <c r="I6" s="375" t="s">
        <v>327</v>
      </c>
      <c r="J6" s="375"/>
      <c r="K6" s="375"/>
      <c r="L6" s="375"/>
    </row>
    <row r="7" spans="1:12" ht="37.5">
      <c r="A7" s="221" t="s">
        <v>16</v>
      </c>
      <c r="B7" s="164"/>
      <c r="C7" s="221" t="s">
        <v>9</v>
      </c>
      <c r="D7" s="214"/>
      <c r="E7" s="88" t="s">
        <v>17</v>
      </c>
      <c r="F7" s="89"/>
      <c r="G7" s="88" t="s">
        <v>18</v>
      </c>
      <c r="H7" s="90"/>
      <c r="I7" s="88" t="s">
        <v>17</v>
      </c>
      <c r="J7" s="164"/>
      <c r="K7" s="221" t="s">
        <v>18</v>
      </c>
      <c r="L7" s="164"/>
    </row>
    <row r="8" spans="1:12">
      <c r="A8" s="222" t="s">
        <v>219</v>
      </c>
      <c r="B8" s="164"/>
      <c r="C8" s="230" t="s">
        <v>254</v>
      </c>
      <c r="D8" s="214"/>
      <c r="E8" s="68">
        <f>VLOOKUP(A8,'سود اوراق بهادار و سپرده بانکی'!$A$7:$K$116,11,0)</f>
        <v>1016774</v>
      </c>
      <c r="F8" s="89"/>
      <c r="G8" s="117">
        <f t="shared" ref="G8:G16" si="0">E8/$E$107</f>
        <v>5.3878784251292544E-5</v>
      </c>
      <c r="H8" s="97"/>
      <c r="I8" s="68">
        <f t="shared" ref="I8:I39" si="1">VLOOKUP(A8,A,17,0)</f>
        <v>34562776</v>
      </c>
      <c r="J8" s="164"/>
      <c r="K8" s="117">
        <f t="shared" ref="K8:K16" si="2">I8/$I$107</f>
        <v>1.1375690490208595E-4</v>
      </c>
      <c r="L8" s="164"/>
    </row>
    <row r="9" spans="1:12">
      <c r="A9" s="222" t="s">
        <v>339</v>
      </c>
      <c r="B9" s="164"/>
      <c r="C9" s="230" t="s">
        <v>350</v>
      </c>
      <c r="D9" s="214"/>
      <c r="E9" s="68">
        <f>VLOOKUP(A9,'سود اوراق بهادار و سپرده بانکی'!$A$7:$K$116,11,0)</f>
        <v>792898769</v>
      </c>
      <c r="F9" s="89"/>
      <c r="G9" s="117">
        <f t="shared" si="0"/>
        <v>4.2015651175252751E-2</v>
      </c>
      <c r="H9" s="97"/>
      <c r="I9" s="68">
        <f t="shared" si="1"/>
        <v>20235900792</v>
      </c>
      <c r="J9" s="164"/>
      <c r="K9" s="117">
        <f t="shared" si="2"/>
        <v>6.6602678037307808E-2</v>
      </c>
      <c r="L9" s="164"/>
    </row>
    <row r="10" spans="1:12">
      <c r="A10" s="222" t="s">
        <v>213</v>
      </c>
      <c r="B10" s="164"/>
      <c r="C10" s="230" t="s">
        <v>113</v>
      </c>
      <c r="D10" s="214"/>
      <c r="E10" s="68">
        <f>VLOOKUP(A10,'سود اوراق بهادار و سپرده بانکی'!$A$7:$K$116,11,0)</f>
        <v>832986960</v>
      </c>
      <c r="F10" s="89"/>
      <c r="G10" s="117">
        <f t="shared" si="0"/>
        <v>4.4139921656120289E-2</v>
      </c>
      <c r="H10" s="97"/>
      <c r="I10" s="68">
        <f t="shared" si="1"/>
        <v>8786398308</v>
      </c>
      <c r="J10" s="164"/>
      <c r="K10" s="117">
        <f t="shared" si="2"/>
        <v>2.8918784670392356E-2</v>
      </c>
      <c r="L10" s="164"/>
    </row>
    <row r="11" spans="1:12">
      <c r="A11" s="222" t="s">
        <v>243</v>
      </c>
      <c r="B11" s="164"/>
      <c r="C11" s="230" t="s">
        <v>257</v>
      </c>
      <c r="D11" s="214"/>
      <c r="E11" s="68">
        <f>VLOOKUP(A11,'سود اوراق بهادار و سپرده بانکی'!$A$7:$K$116,11,0)</f>
        <v>0</v>
      </c>
      <c r="F11" s="89"/>
      <c r="G11" s="117">
        <f t="shared" si="0"/>
        <v>0</v>
      </c>
      <c r="H11" s="97"/>
      <c r="I11" s="68">
        <f t="shared" si="1"/>
        <v>6428819.3478260869</v>
      </c>
      <c r="J11" s="164"/>
      <c r="K11" s="117">
        <f t="shared" si="2"/>
        <v>2.1159255008432839E-5</v>
      </c>
      <c r="L11" s="164"/>
    </row>
    <row r="12" spans="1:12">
      <c r="A12" s="222" t="s">
        <v>241</v>
      </c>
      <c r="B12" s="164"/>
      <c r="C12" s="230" t="s">
        <v>258</v>
      </c>
      <c r="D12" s="214"/>
      <c r="E12" s="68">
        <f>VLOOKUP(A12,'سود اوراق بهادار و سپرده بانکی'!$A$7:$K$116,11,0)</f>
        <v>0</v>
      </c>
      <c r="F12" s="89"/>
      <c r="G12" s="117">
        <f t="shared" si="0"/>
        <v>0</v>
      </c>
      <c r="H12" s="97"/>
      <c r="I12" s="68">
        <f t="shared" si="1"/>
        <v>42272866.956521742</v>
      </c>
      <c r="J12" s="164"/>
      <c r="K12" s="117">
        <f t="shared" si="2"/>
        <v>1.3913322547678389E-4</v>
      </c>
      <c r="L12" s="164"/>
    </row>
    <row r="13" spans="1:12">
      <c r="A13" s="222" t="s">
        <v>218</v>
      </c>
      <c r="B13" s="164"/>
      <c r="C13" s="230" t="s">
        <v>106</v>
      </c>
      <c r="D13" s="214"/>
      <c r="E13" s="68">
        <f>VLOOKUP(A13,'سود اوراق بهادار و سپرده بانکی'!$A$7:$K$116,11,0)</f>
        <v>9725</v>
      </c>
      <c r="F13" s="89"/>
      <c r="G13" s="117">
        <f t="shared" si="0"/>
        <v>5.1532708039723669E-7</v>
      </c>
      <c r="H13" s="97"/>
      <c r="I13" s="68">
        <f t="shared" si="1"/>
        <v>125218</v>
      </c>
      <c r="J13" s="164"/>
      <c r="K13" s="117">
        <f t="shared" si="2"/>
        <v>4.1213159840023837E-7</v>
      </c>
      <c r="L13" s="164"/>
    </row>
    <row r="14" spans="1:12">
      <c r="A14" s="222" t="s">
        <v>238</v>
      </c>
      <c r="B14" s="164"/>
      <c r="C14" s="230" t="s">
        <v>226</v>
      </c>
      <c r="D14" s="214"/>
      <c r="E14" s="68">
        <f>VLOOKUP(A14,'سود اوراق بهادار و سپرده بانکی'!$A$7:$K$116,11,0)</f>
        <v>0</v>
      </c>
      <c r="F14" s="89"/>
      <c r="G14" s="117">
        <f t="shared" si="0"/>
        <v>0</v>
      </c>
      <c r="H14" s="97"/>
      <c r="I14" s="68">
        <f t="shared" si="1"/>
        <v>59635978.043478265</v>
      </c>
      <c r="J14" s="164"/>
      <c r="K14" s="117">
        <f t="shared" si="2"/>
        <v>1.9628065416489815E-4</v>
      </c>
      <c r="L14" s="164"/>
    </row>
    <row r="15" spans="1:12">
      <c r="A15" s="222" t="s">
        <v>221</v>
      </c>
      <c r="B15" s="164"/>
      <c r="C15" s="230" t="s">
        <v>108</v>
      </c>
      <c r="D15" s="214"/>
      <c r="E15" s="68">
        <f>VLOOKUP(A15,'سود اوراق بهادار و سپرده بانکی'!$A$7:$K$116,11,0)</f>
        <v>2330</v>
      </c>
      <c r="F15" s="89"/>
      <c r="G15" s="117">
        <f t="shared" si="0"/>
        <v>1.2346653957075184E-7</v>
      </c>
      <c r="H15" s="97"/>
      <c r="I15" s="68">
        <f t="shared" si="1"/>
        <v>54211</v>
      </c>
      <c r="J15" s="164"/>
      <c r="K15" s="117">
        <f t="shared" si="2"/>
        <v>1.7842535482818223E-7</v>
      </c>
      <c r="L15" s="164"/>
    </row>
    <row r="16" spans="1:12">
      <c r="A16" s="222" t="s">
        <v>222</v>
      </c>
      <c r="B16" s="164"/>
      <c r="C16" s="230" t="s">
        <v>227</v>
      </c>
      <c r="D16" s="214"/>
      <c r="E16" s="68">
        <f>VLOOKUP(A16,'سود اوراق بهادار و سپرده بانکی'!$A$7:$K$116,11,0)</f>
        <v>0</v>
      </c>
      <c r="F16" s="89"/>
      <c r="G16" s="117">
        <f t="shared" si="0"/>
        <v>0</v>
      </c>
      <c r="H16" s="97"/>
      <c r="I16" s="68">
        <f t="shared" si="1"/>
        <v>4228956.1956521738</v>
      </c>
      <c r="J16" s="164"/>
      <c r="K16" s="117">
        <f t="shared" si="2"/>
        <v>1.3918817394294124E-5</v>
      </c>
      <c r="L16" s="164"/>
    </row>
    <row r="17" spans="1:12">
      <c r="A17" s="222" t="s">
        <v>112</v>
      </c>
      <c r="B17" s="164"/>
      <c r="C17" s="230" t="s">
        <v>115</v>
      </c>
      <c r="D17" s="214"/>
      <c r="E17" s="68">
        <f>VLOOKUP(A17,'سود اوراق بهادار و سپرده بانکی'!$A$7:$K$116,11,0)</f>
        <v>0</v>
      </c>
      <c r="F17" s="89"/>
      <c r="G17" s="117">
        <f t="shared" ref="G17:G18" si="3">E17/$E$107</f>
        <v>0</v>
      </c>
      <c r="H17" s="97"/>
      <c r="I17" s="68">
        <f t="shared" si="1"/>
        <v>1023634809.7826086</v>
      </c>
      <c r="J17" s="164"/>
      <c r="K17" s="117">
        <f t="shared" ref="K17:K18" si="4">I17/$I$107</f>
        <v>3.3691022882798836E-3</v>
      </c>
      <c r="L17" s="164"/>
    </row>
    <row r="18" spans="1:12">
      <c r="A18" s="222" t="s">
        <v>223</v>
      </c>
      <c r="B18" s="164"/>
      <c r="C18" s="230" t="s">
        <v>228</v>
      </c>
      <c r="D18" s="214"/>
      <c r="E18" s="68">
        <f>VLOOKUP(A18,'سود اوراق بهادار و سپرده بانکی'!$A$7:$K$116,11,0)</f>
        <v>0</v>
      </c>
      <c r="F18" s="89"/>
      <c r="G18" s="117">
        <f t="shared" si="3"/>
        <v>0</v>
      </c>
      <c r="H18" s="97"/>
      <c r="I18" s="68">
        <f t="shared" si="1"/>
        <v>1378686.5217391304</v>
      </c>
      <c r="J18" s="164"/>
      <c r="K18" s="117">
        <f t="shared" si="4"/>
        <v>4.5376885104155381E-6</v>
      </c>
      <c r="L18" s="164"/>
    </row>
    <row r="19" spans="1:12">
      <c r="A19" s="222" t="s">
        <v>224</v>
      </c>
      <c r="B19" s="164"/>
      <c r="C19" s="230" t="s">
        <v>229</v>
      </c>
      <c r="D19" s="214"/>
      <c r="E19" s="68">
        <f>VLOOKUP(A19,'سود اوراق بهادار و سپرده بانکی'!$A$7:$K$116,11,0)</f>
        <v>0</v>
      </c>
      <c r="F19" s="89"/>
      <c r="G19" s="117">
        <f t="shared" ref="G19:G50" si="5">E19/$E$107</f>
        <v>0</v>
      </c>
      <c r="H19" s="97"/>
      <c r="I19" s="68">
        <f t="shared" si="1"/>
        <v>1153326.0638297873</v>
      </c>
      <c r="J19" s="164"/>
      <c r="K19" s="117">
        <f t="shared" ref="K19:K50" si="6">I19/$I$107</f>
        <v>3.7959567647049593E-6</v>
      </c>
      <c r="L19" s="164"/>
    </row>
    <row r="20" spans="1:12">
      <c r="A20" s="222" t="s">
        <v>225</v>
      </c>
      <c r="B20" s="164"/>
      <c r="C20" s="230" t="s">
        <v>230</v>
      </c>
      <c r="D20" s="214"/>
      <c r="E20" s="68">
        <f>VLOOKUP(A20,'سود اوراق بهادار و سپرده بانکی'!$A$7:$K$116,11,0)</f>
        <v>0</v>
      </c>
      <c r="F20" s="89"/>
      <c r="G20" s="117">
        <f t="shared" si="5"/>
        <v>0</v>
      </c>
      <c r="H20" s="97"/>
      <c r="I20" s="68">
        <f t="shared" si="1"/>
        <v>3840706.9565217388</v>
      </c>
      <c r="J20" s="164"/>
      <c r="K20" s="117">
        <f t="shared" si="6"/>
        <v>1.2640967728107932E-5</v>
      </c>
      <c r="L20" s="164"/>
    </row>
    <row r="21" spans="1:12">
      <c r="A21" s="222" t="s">
        <v>111</v>
      </c>
      <c r="B21" s="164"/>
      <c r="C21" s="230" t="s">
        <v>114</v>
      </c>
      <c r="D21" s="214"/>
      <c r="E21" s="68">
        <f>VLOOKUP(A21,'سود اوراق بهادار و سپرده بانکی'!$A$7:$K$116,11,0)</f>
        <v>0</v>
      </c>
      <c r="F21" s="89"/>
      <c r="G21" s="117">
        <f t="shared" si="5"/>
        <v>0</v>
      </c>
      <c r="H21" s="97"/>
      <c r="I21" s="68">
        <f t="shared" si="1"/>
        <v>664010914.78723407</v>
      </c>
      <c r="J21" s="164"/>
      <c r="K21" s="117">
        <f t="shared" si="6"/>
        <v>2.1854675818689588E-3</v>
      </c>
      <c r="L21" s="164"/>
    </row>
    <row r="22" spans="1:12">
      <c r="A22" s="222" t="s">
        <v>127</v>
      </c>
      <c r="B22" s="7"/>
      <c r="C22" s="230" t="s">
        <v>137</v>
      </c>
      <c r="D22" s="7"/>
      <c r="E22" s="68">
        <f>VLOOKUP(A22,'سود اوراق بهادار و سپرده بانکی'!$A$7:$K$116,11,0)</f>
        <v>0</v>
      </c>
      <c r="F22" s="7"/>
      <c r="G22" s="117">
        <f t="shared" si="5"/>
        <v>0</v>
      </c>
      <c r="H22" s="7"/>
      <c r="I22" s="68">
        <f t="shared" si="1"/>
        <v>171151516.91489363</v>
      </c>
      <c r="J22" s="7"/>
      <c r="K22" s="117">
        <f t="shared" si="6"/>
        <v>5.6331316771359189E-4</v>
      </c>
      <c r="L22" s="164"/>
    </row>
    <row r="23" spans="1:12">
      <c r="A23" s="222" t="s">
        <v>128</v>
      </c>
      <c r="B23" s="7"/>
      <c r="C23" s="230" t="s">
        <v>138</v>
      </c>
      <c r="D23" s="7"/>
      <c r="E23" s="68">
        <f>VLOOKUP(A23,'سود اوراق بهادار و سپرده بانکی'!$A$7:$K$116,11,0)</f>
        <v>0</v>
      </c>
      <c r="F23" s="7"/>
      <c r="G23" s="117">
        <f t="shared" si="5"/>
        <v>0</v>
      </c>
      <c r="H23" s="7"/>
      <c r="I23" s="68">
        <f t="shared" si="1"/>
        <v>149009273.61702129</v>
      </c>
      <c r="J23" s="7"/>
      <c r="K23" s="117">
        <f t="shared" si="6"/>
        <v>4.9043612030412128E-4</v>
      </c>
      <c r="L23" s="164"/>
    </row>
    <row r="24" spans="1:12">
      <c r="A24" s="222" t="s">
        <v>121</v>
      </c>
      <c r="B24" s="7"/>
      <c r="C24" s="230" t="s">
        <v>124</v>
      </c>
      <c r="D24" s="7"/>
      <c r="E24" s="68">
        <f>VLOOKUP(A24,'سود اوراق بهادار و سپرده بانکی'!$A$7:$K$116,11,0)</f>
        <v>0</v>
      </c>
      <c r="F24" s="7"/>
      <c r="G24" s="117">
        <f t="shared" si="5"/>
        <v>0</v>
      </c>
      <c r="H24" s="7"/>
      <c r="I24" s="68">
        <f t="shared" si="1"/>
        <v>370738455.65217388</v>
      </c>
      <c r="J24" s="7"/>
      <c r="K24" s="117">
        <f t="shared" si="6"/>
        <v>1.220216201475557E-3</v>
      </c>
      <c r="L24" s="164"/>
    </row>
    <row r="25" spans="1:12">
      <c r="A25" s="222" t="s">
        <v>129</v>
      </c>
      <c r="B25" s="7"/>
      <c r="C25" s="230" t="s">
        <v>139</v>
      </c>
      <c r="D25" s="7"/>
      <c r="E25" s="68">
        <f>VLOOKUP(A25,'سود اوراق بهادار و سپرده بانکی'!$A$7:$K$116,11,0)</f>
        <v>0</v>
      </c>
      <c r="F25" s="7"/>
      <c r="G25" s="117">
        <f t="shared" si="5"/>
        <v>0</v>
      </c>
      <c r="H25" s="7"/>
      <c r="I25" s="68">
        <f t="shared" si="1"/>
        <v>596096702.60869563</v>
      </c>
      <c r="J25" s="7"/>
      <c r="K25" s="117">
        <f t="shared" si="6"/>
        <v>1.961940670248952E-3</v>
      </c>
      <c r="L25" s="164"/>
    </row>
    <row r="26" spans="1:12">
      <c r="A26" s="222" t="s">
        <v>130</v>
      </c>
      <c r="B26" s="7"/>
      <c r="C26" s="230" t="s">
        <v>140</v>
      </c>
      <c r="D26" s="7"/>
      <c r="E26" s="68">
        <f>VLOOKUP(A26,'سود اوراق بهادار و سپرده بانکی'!$A$7:$K$116,11,0)</f>
        <v>0</v>
      </c>
      <c r="F26" s="7"/>
      <c r="G26" s="117">
        <f t="shared" si="5"/>
        <v>0</v>
      </c>
      <c r="H26" s="7"/>
      <c r="I26" s="68">
        <f t="shared" si="1"/>
        <v>632821551.84782612</v>
      </c>
      <c r="J26" s="7"/>
      <c r="K26" s="117">
        <f t="shared" si="6"/>
        <v>2.0828136343430171E-3</v>
      </c>
      <c r="L26" s="164"/>
    </row>
    <row r="27" spans="1:12">
      <c r="A27" s="222" t="s">
        <v>131</v>
      </c>
      <c r="B27" s="7"/>
      <c r="C27" s="230" t="s">
        <v>141</v>
      </c>
      <c r="D27" s="7"/>
      <c r="E27" s="68">
        <f>VLOOKUP(A27,'سود اوراق بهادار و سپرده بانکی'!$A$7:$K$116,11,0)</f>
        <v>0</v>
      </c>
      <c r="F27" s="7"/>
      <c r="G27" s="117">
        <f t="shared" si="5"/>
        <v>0</v>
      </c>
      <c r="H27" s="7"/>
      <c r="I27" s="68">
        <f t="shared" si="1"/>
        <v>1767443800.2127662</v>
      </c>
      <c r="J27" s="7"/>
      <c r="K27" s="117">
        <f t="shared" si="6"/>
        <v>5.8172102929633035E-3</v>
      </c>
      <c r="L27" s="164"/>
    </row>
    <row r="28" spans="1:12">
      <c r="A28" s="222" t="s">
        <v>132</v>
      </c>
      <c r="B28" s="7"/>
      <c r="C28" s="230" t="s">
        <v>142</v>
      </c>
      <c r="D28" s="7"/>
      <c r="E28" s="68">
        <f>VLOOKUP(A28,'سود اوراق بهادار و سپرده بانکی'!$A$7:$K$116,11,0)</f>
        <v>0</v>
      </c>
      <c r="F28" s="7"/>
      <c r="G28" s="117">
        <f t="shared" si="5"/>
        <v>0</v>
      </c>
      <c r="H28" s="7"/>
      <c r="I28" s="68">
        <f t="shared" si="1"/>
        <v>402350847.12765962</v>
      </c>
      <c r="J28" s="7"/>
      <c r="K28" s="117">
        <f t="shared" si="6"/>
        <v>1.3242624682107389E-3</v>
      </c>
      <c r="L28" s="164"/>
    </row>
    <row r="29" spans="1:12">
      <c r="A29" s="222" t="s">
        <v>133</v>
      </c>
      <c r="B29" s="7"/>
      <c r="C29" s="230" t="s">
        <v>143</v>
      </c>
      <c r="D29" s="7"/>
      <c r="E29" s="68">
        <f>VLOOKUP(A29,'سود اوراق بهادار و سپرده بانکی'!$A$7:$K$116,11,0)</f>
        <v>0</v>
      </c>
      <c r="F29" s="7"/>
      <c r="G29" s="117">
        <f t="shared" si="5"/>
        <v>0</v>
      </c>
      <c r="H29" s="7"/>
      <c r="I29" s="68">
        <f t="shared" si="1"/>
        <v>173300430.63829789</v>
      </c>
      <c r="J29" s="7"/>
      <c r="K29" s="117">
        <f t="shared" si="6"/>
        <v>5.7038591482383807E-4</v>
      </c>
      <c r="L29" s="164"/>
    </row>
    <row r="30" spans="1:12">
      <c r="A30" s="222" t="s">
        <v>134</v>
      </c>
      <c r="B30" s="7"/>
      <c r="C30" s="230" t="s">
        <v>144</v>
      </c>
      <c r="D30" s="7"/>
      <c r="E30" s="68">
        <f>VLOOKUP(A30,'سود اوراق بهادار و سپرده بانکی'!$A$7:$K$116,11,0)</f>
        <v>0</v>
      </c>
      <c r="F30" s="7"/>
      <c r="G30" s="117">
        <f t="shared" si="5"/>
        <v>0</v>
      </c>
      <c r="H30" s="7"/>
      <c r="I30" s="68">
        <f t="shared" si="1"/>
        <v>551472914.6808511</v>
      </c>
      <c r="J30" s="7"/>
      <c r="K30" s="117">
        <f t="shared" si="6"/>
        <v>1.8150698286337223E-3</v>
      </c>
      <c r="L30" s="164"/>
    </row>
    <row r="31" spans="1:12">
      <c r="A31" s="222" t="s">
        <v>135</v>
      </c>
      <c r="B31" s="7"/>
      <c r="C31" s="230" t="s">
        <v>145</v>
      </c>
      <c r="D31" s="7"/>
      <c r="E31" s="68">
        <f>VLOOKUP(A31,'سود اوراق بهادار و سپرده بانکی'!$A$7:$K$116,11,0)</f>
        <v>0</v>
      </c>
      <c r="F31" s="7"/>
      <c r="G31" s="117">
        <f t="shared" si="5"/>
        <v>0</v>
      </c>
      <c r="H31" s="7"/>
      <c r="I31" s="68">
        <f t="shared" si="1"/>
        <v>282371915.625</v>
      </c>
      <c r="J31" s="7"/>
      <c r="K31" s="117">
        <f t="shared" si="6"/>
        <v>9.2937428268993674E-4</v>
      </c>
      <c r="L31" s="164"/>
    </row>
    <row r="32" spans="1:12">
      <c r="A32" s="222" t="s">
        <v>136</v>
      </c>
      <c r="B32" s="7"/>
      <c r="C32" s="230" t="s">
        <v>146</v>
      </c>
      <c r="D32" s="7"/>
      <c r="E32" s="68">
        <f>VLOOKUP(A32,'سود اوراق بهادار و سپرده بانکی'!$A$7:$K$116,11,0)</f>
        <v>0</v>
      </c>
      <c r="F32" s="7"/>
      <c r="G32" s="117">
        <f t="shared" si="5"/>
        <v>0</v>
      </c>
      <c r="H32" s="7"/>
      <c r="I32" s="68">
        <f t="shared" si="1"/>
        <v>306789858.75000006</v>
      </c>
      <c r="J32" s="7"/>
      <c r="K32" s="117">
        <f t="shared" si="6"/>
        <v>1.009741369927813E-3</v>
      </c>
      <c r="L32" s="164"/>
    </row>
    <row r="33" spans="1:12">
      <c r="A33" s="222" t="s">
        <v>122</v>
      </c>
      <c r="B33" s="7"/>
      <c r="C33" s="230" t="s">
        <v>125</v>
      </c>
      <c r="D33" s="7"/>
      <c r="E33" s="68">
        <f>VLOOKUP(A33,'سود اوراق بهادار و سپرده بانکی'!$A$7:$K$116,11,0)</f>
        <v>0</v>
      </c>
      <c r="F33" s="7"/>
      <c r="G33" s="117">
        <f t="shared" si="5"/>
        <v>0</v>
      </c>
      <c r="H33" s="7"/>
      <c r="I33" s="68">
        <f t="shared" si="1"/>
        <v>22062489664.591835</v>
      </c>
      <c r="J33" s="7"/>
      <c r="K33" s="117">
        <f t="shared" si="6"/>
        <v>7.2614553260369696E-2</v>
      </c>
      <c r="L33" s="164"/>
    </row>
    <row r="34" spans="1:12">
      <c r="A34" s="222" t="s">
        <v>123</v>
      </c>
      <c r="B34" s="7"/>
      <c r="C34" s="230" t="s">
        <v>126</v>
      </c>
      <c r="D34" s="7"/>
      <c r="E34" s="68">
        <f>VLOOKUP(A34,'سود اوراق بهادار و سپرده بانکی'!$A$7:$K$116,11,0)</f>
        <v>0</v>
      </c>
      <c r="F34" s="7"/>
      <c r="G34" s="117">
        <f t="shared" si="5"/>
        <v>0</v>
      </c>
      <c r="H34" s="7"/>
      <c r="I34" s="68">
        <f t="shared" si="1"/>
        <v>14825856164.0625</v>
      </c>
      <c r="J34" s="7"/>
      <c r="K34" s="117">
        <f t="shared" si="6"/>
        <v>4.8796529241379873E-2</v>
      </c>
      <c r="L34" s="164"/>
    </row>
    <row r="35" spans="1:12">
      <c r="A35" s="222" t="s">
        <v>156</v>
      </c>
      <c r="B35" s="7"/>
      <c r="C35" s="230" t="s">
        <v>161</v>
      </c>
      <c r="D35" s="7"/>
      <c r="E35" s="68">
        <f>VLOOKUP(A35,'سود اوراق بهادار و سپرده بانکی'!$A$7:$K$116,11,0)</f>
        <v>0</v>
      </c>
      <c r="F35" s="7"/>
      <c r="G35" s="117">
        <f t="shared" si="5"/>
        <v>0</v>
      </c>
      <c r="H35" s="7"/>
      <c r="I35" s="68">
        <f t="shared" si="1"/>
        <v>2223801368.2653065</v>
      </c>
      <c r="J35" s="7"/>
      <c r="K35" s="117">
        <f t="shared" si="6"/>
        <v>7.319225769680221E-3</v>
      </c>
      <c r="L35" s="164"/>
    </row>
    <row r="36" spans="1:12">
      <c r="A36" s="222" t="s">
        <v>157</v>
      </c>
      <c r="B36" s="7"/>
      <c r="C36" s="230" t="s">
        <v>162</v>
      </c>
      <c r="D36" s="7"/>
      <c r="E36" s="68">
        <f>VLOOKUP(A36,'سود اوراق بهادار و سپرده بانکی'!$A$7:$K$116,11,0)</f>
        <v>0</v>
      </c>
      <c r="F36" s="7"/>
      <c r="G36" s="117">
        <f t="shared" si="5"/>
        <v>0</v>
      </c>
      <c r="H36" s="7"/>
      <c r="I36" s="68">
        <f t="shared" si="1"/>
        <v>6322112876.0204086</v>
      </c>
      <c r="J36" s="7"/>
      <c r="K36" s="117">
        <f t="shared" si="6"/>
        <v>2.080805063857448E-2</v>
      </c>
      <c r="L36" s="164"/>
    </row>
    <row r="37" spans="1:12">
      <c r="A37" s="222" t="s">
        <v>158</v>
      </c>
      <c r="B37" s="7"/>
      <c r="C37" s="230" t="s">
        <v>163</v>
      </c>
      <c r="D37" s="7"/>
      <c r="E37" s="68">
        <f>VLOOKUP(A37,'سود اوراق بهادار و سپرده بانکی'!$A$7:$K$116,11,0)</f>
        <v>0</v>
      </c>
      <c r="F37" s="7"/>
      <c r="G37" s="117">
        <f t="shared" si="5"/>
        <v>0</v>
      </c>
      <c r="H37" s="7"/>
      <c r="I37" s="68">
        <f t="shared" si="1"/>
        <v>241169176.83673471</v>
      </c>
      <c r="J37" s="7"/>
      <c r="K37" s="117">
        <f t="shared" si="6"/>
        <v>7.9376318368440022E-4</v>
      </c>
      <c r="L37" s="164"/>
    </row>
    <row r="38" spans="1:12">
      <c r="A38" s="222" t="s">
        <v>159</v>
      </c>
      <c r="B38" s="7"/>
      <c r="C38" s="230" t="s">
        <v>164</v>
      </c>
      <c r="D38" s="7"/>
      <c r="E38" s="68">
        <f>VLOOKUP(A38,'سود اوراق بهادار و سپرده بانکی'!$A$7:$K$116,11,0)</f>
        <v>0</v>
      </c>
      <c r="F38" s="7"/>
      <c r="G38" s="117">
        <f t="shared" si="5"/>
        <v>0</v>
      </c>
      <c r="H38" s="7"/>
      <c r="I38" s="68">
        <f t="shared" si="1"/>
        <v>1712689520.4000001</v>
      </c>
      <c r="J38" s="7"/>
      <c r="K38" s="117">
        <f t="shared" si="6"/>
        <v>5.6369968343671813E-3</v>
      </c>
      <c r="L38" s="164"/>
    </row>
    <row r="39" spans="1:12">
      <c r="A39" s="222" t="s">
        <v>242</v>
      </c>
      <c r="B39" s="7"/>
      <c r="C39" s="230" t="s">
        <v>165</v>
      </c>
      <c r="D39" s="7"/>
      <c r="E39" s="68">
        <f>VLOOKUP(A39,'سود اوراق بهادار و سپرده بانکی'!$A$7:$K$116,11,0)</f>
        <v>0</v>
      </c>
      <c r="F39" s="7"/>
      <c r="G39" s="117">
        <f t="shared" si="5"/>
        <v>0</v>
      </c>
      <c r="H39" s="7"/>
      <c r="I39" s="68">
        <f t="shared" si="1"/>
        <v>4983904108.8000002</v>
      </c>
      <c r="J39" s="7"/>
      <c r="K39" s="117">
        <f t="shared" si="6"/>
        <v>1.6403587077203435E-2</v>
      </c>
      <c r="L39" s="164"/>
    </row>
    <row r="40" spans="1:12">
      <c r="A40" s="222" t="s">
        <v>151</v>
      </c>
      <c r="B40" s="7"/>
      <c r="C40" s="230" t="s">
        <v>267</v>
      </c>
      <c r="D40" s="7"/>
      <c r="E40" s="68">
        <f>VLOOKUP(A40,'سود اوراق بهادار و سپرده بانکی'!$A$7:$K$116,11,0)</f>
        <v>0</v>
      </c>
      <c r="F40" s="7"/>
      <c r="G40" s="117">
        <f t="shared" si="5"/>
        <v>0</v>
      </c>
      <c r="H40" s="7"/>
      <c r="I40" s="68">
        <f t="shared" ref="I40:I71" si="7">VLOOKUP(A40,A,17,0)</f>
        <v>2147054794.2</v>
      </c>
      <c r="J40" s="7"/>
      <c r="K40" s="117">
        <f t="shared" si="6"/>
        <v>7.0666287928775485E-3</v>
      </c>
      <c r="L40" s="164"/>
    </row>
    <row r="41" spans="1:12">
      <c r="A41" s="222" t="s">
        <v>220</v>
      </c>
      <c r="B41" s="7"/>
      <c r="C41" s="230" t="s">
        <v>166</v>
      </c>
      <c r="D41" s="7"/>
      <c r="E41" s="68">
        <f>VLOOKUP(A41,'سود اوراق بهادار و سپرده بانکی'!$A$7:$K$116,11,0)</f>
        <v>3809</v>
      </c>
      <c r="F41" s="7"/>
      <c r="G41" s="117">
        <f t="shared" si="5"/>
        <v>2.0183864773604882E-7</v>
      </c>
      <c r="H41" s="7"/>
      <c r="I41" s="68">
        <f t="shared" si="7"/>
        <v>2772575773</v>
      </c>
      <c r="J41" s="7"/>
      <c r="K41" s="117">
        <f t="shared" si="6"/>
        <v>9.1254139581551097E-3</v>
      </c>
      <c r="L41" s="164"/>
    </row>
    <row r="42" spans="1:12">
      <c r="A42" s="222" t="s">
        <v>152</v>
      </c>
      <c r="B42" s="7"/>
      <c r="C42" s="228" t="s">
        <v>268</v>
      </c>
      <c r="D42" s="7"/>
      <c r="E42" s="68">
        <f>VLOOKUP(A42,'سود اوراق بهادار و سپرده بانکی'!$A$7:$K$116,11,0)</f>
        <v>0</v>
      </c>
      <c r="F42" s="7"/>
      <c r="G42" s="117">
        <f t="shared" si="5"/>
        <v>0</v>
      </c>
      <c r="H42" s="7"/>
      <c r="I42" s="68">
        <f t="shared" si="7"/>
        <v>343403012.69999999</v>
      </c>
      <c r="J42" s="7"/>
      <c r="K42" s="117">
        <f t="shared" si="6"/>
        <v>1.1302467098940117E-3</v>
      </c>
      <c r="L42" s="164"/>
    </row>
    <row r="43" spans="1:12">
      <c r="A43" s="222" t="s">
        <v>153</v>
      </c>
      <c r="B43" s="7"/>
      <c r="C43" s="228" t="s">
        <v>271</v>
      </c>
      <c r="D43" s="7"/>
      <c r="E43" s="68">
        <f>VLOOKUP(A43,'سود اوراق بهادار و سپرده بانکی'!$A$7:$K$116,11,0)</f>
        <v>0</v>
      </c>
      <c r="F43" s="7"/>
      <c r="G43" s="117">
        <f t="shared" si="5"/>
        <v>0</v>
      </c>
      <c r="H43" s="7"/>
      <c r="I43" s="68">
        <f t="shared" si="7"/>
        <v>501780820.67307693</v>
      </c>
      <c r="J43" s="7"/>
      <c r="K43" s="117">
        <f t="shared" si="6"/>
        <v>1.6515176066586161E-3</v>
      </c>
      <c r="L43" s="164"/>
    </row>
    <row r="44" spans="1:12">
      <c r="A44" s="222" t="s">
        <v>154</v>
      </c>
      <c r="B44" s="7"/>
      <c r="C44" s="228" t="s">
        <v>272</v>
      </c>
      <c r="D44" s="7"/>
      <c r="E44" s="68">
        <f>VLOOKUP(A44,'سود اوراق بهادار و سپرده بانکی'!$A$7:$K$116,11,0)</f>
        <v>0</v>
      </c>
      <c r="F44" s="7"/>
      <c r="G44" s="117">
        <f t="shared" si="5"/>
        <v>0</v>
      </c>
      <c r="H44" s="7"/>
      <c r="I44" s="68">
        <f t="shared" si="7"/>
        <v>288095546.25</v>
      </c>
      <c r="J44" s="7"/>
      <c r="K44" s="117">
        <f t="shared" si="6"/>
        <v>9.4821254107238821E-4</v>
      </c>
      <c r="L44" s="164"/>
    </row>
    <row r="45" spans="1:12">
      <c r="A45" s="222" t="s">
        <v>239</v>
      </c>
      <c r="B45" s="7"/>
      <c r="C45" s="228" t="s">
        <v>260</v>
      </c>
      <c r="D45" s="7"/>
      <c r="E45" s="68">
        <f>VLOOKUP(A45,'سود اوراق بهادار و سپرده بانکی'!$A$7:$K$116,11,0)</f>
        <v>0</v>
      </c>
      <c r="F45" s="7"/>
      <c r="G45" s="117">
        <f t="shared" si="5"/>
        <v>0</v>
      </c>
      <c r="H45" s="7"/>
      <c r="I45" s="68">
        <f t="shared" si="7"/>
        <v>12327892662.115385</v>
      </c>
      <c r="J45" s="7"/>
      <c r="K45" s="117">
        <f t="shared" si="6"/>
        <v>4.0574950148893799E-2</v>
      </c>
      <c r="L45" s="164"/>
    </row>
    <row r="46" spans="1:12">
      <c r="A46" s="222" t="s">
        <v>155</v>
      </c>
      <c r="B46" s="7"/>
      <c r="C46" s="228" t="s">
        <v>269</v>
      </c>
      <c r="D46" s="7"/>
      <c r="E46" s="68">
        <f>VLOOKUP(A46,'سود اوراق بهادار و سپرده بانکی'!$A$7:$K$116,11,0)</f>
        <v>0</v>
      </c>
      <c r="F46" s="7"/>
      <c r="G46" s="117">
        <f t="shared" si="5"/>
        <v>0</v>
      </c>
      <c r="H46" s="7"/>
      <c r="I46" s="68">
        <f t="shared" si="7"/>
        <v>47455446393.17308</v>
      </c>
      <c r="J46" s="7"/>
      <c r="K46" s="117">
        <f t="shared" si="6"/>
        <v>0.15619071519122849</v>
      </c>
      <c r="L46" s="164"/>
    </row>
    <row r="47" spans="1:12">
      <c r="A47" s="222" t="s">
        <v>149</v>
      </c>
      <c r="B47" s="7"/>
      <c r="C47" s="228" t="s">
        <v>270</v>
      </c>
      <c r="D47" s="7"/>
      <c r="E47" s="68">
        <f>VLOOKUP(A47,'سود اوراق بهادار و سپرده بانکی'!$A$7:$K$116,11,0)</f>
        <v>0</v>
      </c>
      <c r="F47" s="7"/>
      <c r="G47" s="117">
        <f t="shared" si="5"/>
        <v>0</v>
      </c>
      <c r="H47" s="7"/>
      <c r="I47" s="68">
        <f t="shared" si="7"/>
        <v>589338777.98076928</v>
      </c>
      <c r="J47" s="7"/>
      <c r="K47" s="117">
        <f t="shared" si="6"/>
        <v>1.9396982268400521E-3</v>
      </c>
      <c r="L47" s="164"/>
    </row>
    <row r="48" spans="1:12">
      <c r="A48" s="222" t="s">
        <v>150</v>
      </c>
      <c r="B48" s="7"/>
      <c r="C48" s="228" t="s">
        <v>160</v>
      </c>
      <c r="D48" s="7"/>
      <c r="E48" s="68">
        <f>VLOOKUP(A48,'سود اوراق بهادار و سپرده بانکی'!$A$7:$K$116,11,0)</f>
        <v>0</v>
      </c>
      <c r="F48" s="7"/>
      <c r="G48" s="117">
        <f t="shared" si="5"/>
        <v>0</v>
      </c>
      <c r="H48" s="7"/>
      <c r="I48" s="68">
        <f t="shared" si="7"/>
        <v>1062900764.1346154</v>
      </c>
      <c r="J48" s="7"/>
      <c r="K48" s="117">
        <f t="shared" si="6"/>
        <v>3.4983388240000146E-3</v>
      </c>
      <c r="L48" s="164"/>
    </row>
    <row r="49" spans="1:12">
      <c r="A49" s="222" t="s">
        <v>167</v>
      </c>
      <c r="B49" s="7"/>
      <c r="C49" s="228" t="s">
        <v>261</v>
      </c>
      <c r="D49" s="7"/>
      <c r="E49" s="68">
        <f>VLOOKUP(A49,'سود اوراق بهادار و سپرده بانکی'!$A$7:$K$116,11,0)</f>
        <v>0</v>
      </c>
      <c r="F49" s="7"/>
      <c r="G49" s="117">
        <f t="shared" si="5"/>
        <v>0</v>
      </c>
      <c r="H49" s="7"/>
      <c r="I49" s="68">
        <f t="shared" si="7"/>
        <v>2879866768.8461537</v>
      </c>
      <c r="J49" s="7"/>
      <c r="K49" s="117">
        <f t="shared" si="6"/>
        <v>9.4785421794334294E-3</v>
      </c>
      <c r="L49" s="164"/>
    </row>
    <row r="50" spans="1:12">
      <c r="A50" s="222" t="s">
        <v>168</v>
      </c>
      <c r="B50" s="7"/>
      <c r="C50" s="228" t="s">
        <v>264</v>
      </c>
      <c r="D50" s="7"/>
      <c r="E50" s="68">
        <f>VLOOKUP(A50,'سود اوراق بهادار و سپرده بانکی'!$A$7:$K$116,11,0)</f>
        <v>0</v>
      </c>
      <c r="F50" s="7"/>
      <c r="G50" s="117">
        <f t="shared" si="5"/>
        <v>0</v>
      </c>
      <c r="H50" s="7"/>
      <c r="I50" s="68">
        <f t="shared" si="7"/>
        <v>1237505882.0192306</v>
      </c>
      <c r="J50" s="7"/>
      <c r="K50" s="117">
        <f t="shared" si="6"/>
        <v>4.0730188725764853E-3</v>
      </c>
      <c r="L50" s="164"/>
    </row>
    <row r="51" spans="1:12">
      <c r="A51" s="222" t="s">
        <v>169</v>
      </c>
      <c r="B51" s="7"/>
      <c r="C51" s="228" t="s">
        <v>265</v>
      </c>
      <c r="D51" s="7"/>
      <c r="E51" s="68">
        <f>VLOOKUP(A51,'سود اوراق بهادار و سپرده بانکی'!$A$7:$K$116,11,0)</f>
        <v>0</v>
      </c>
      <c r="F51" s="7"/>
      <c r="G51" s="117">
        <f t="shared" ref="G51:G71" si="8">E51/$E$107</f>
        <v>0</v>
      </c>
      <c r="H51" s="7"/>
      <c r="I51" s="68">
        <f t="shared" si="7"/>
        <v>516671506.80000001</v>
      </c>
      <c r="J51" s="7"/>
      <c r="K51" s="117">
        <f t="shared" ref="K51:K72" si="9">I51/$I$107</f>
        <v>1.7005275115825492E-3</v>
      </c>
      <c r="L51" s="164"/>
    </row>
    <row r="52" spans="1:12">
      <c r="A52" s="222" t="s">
        <v>237</v>
      </c>
      <c r="B52" s="7"/>
      <c r="C52" s="228" t="s">
        <v>170</v>
      </c>
      <c r="D52" s="7"/>
      <c r="E52" s="68">
        <f>VLOOKUP(A52,'سود اوراق بهادار و سپرده بانکی'!$A$7:$K$116,11,0)</f>
        <v>0</v>
      </c>
      <c r="F52" s="7"/>
      <c r="G52" s="117">
        <f t="shared" si="8"/>
        <v>0</v>
      </c>
      <c r="H52" s="7"/>
      <c r="I52" s="68">
        <f t="shared" si="7"/>
        <v>9970685138.9423065</v>
      </c>
      <c r="J52" s="7"/>
      <c r="K52" s="117">
        <f t="shared" si="9"/>
        <v>3.2816643002266416E-2</v>
      </c>
      <c r="L52" s="164"/>
    </row>
    <row r="53" spans="1:12">
      <c r="A53" s="222" t="s">
        <v>173</v>
      </c>
      <c r="B53" s="7"/>
      <c r="C53" s="228" t="s">
        <v>202</v>
      </c>
      <c r="D53" s="7"/>
      <c r="E53" s="68">
        <f>VLOOKUP(A53,'سود اوراق بهادار و سپرده بانکی'!$A$7:$K$116,11,0)</f>
        <v>0</v>
      </c>
      <c r="F53" s="7"/>
      <c r="G53" s="117">
        <f t="shared" si="8"/>
        <v>0</v>
      </c>
      <c r="H53" s="7"/>
      <c r="I53" s="68">
        <f t="shared" si="7"/>
        <v>11381237891.320755</v>
      </c>
      <c r="J53" s="7"/>
      <c r="K53" s="117">
        <f t="shared" si="9"/>
        <v>3.74592132434904E-2</v>
      </c>
      <c r="L53" s="164"/>
    </row>
    <row r="54" spans="1:12">
      <c r="A54" s="222" t="s">
        <v>183</v>
      </c>
      <c r="B54" s="7"/>
      <c r="C54" s="228" t="s">
        <v>203</v>
      </c>
      <c r="D54" s="7"/>
      <c r="E54" s="68">
        <f>VLOOKUP(A54,'سود اوراق بهادار و سپرده بانکی'!$A$7:$K$116,11,0)</f>
        <v>0</v>
      </c>
      <c r="F54" s="7"/>
      <c r="G54" s="117">
        <f t="shared" si="8"/>
        <v>0</v>
      </c>
      <c r="H54" s="7"/>
      <c r="I54" s="68">
        <f t="shared" si="7"/>
        <v>8839019588.7735844</v>
      </c>
      <c r="J54" s="7"/>
      <c r="K54" s="117">
        <f t="shared" si="9"/>
        <v>2.9091977762081132E-2</v>
      </c>
      <c r="L54" s="164"/>
    </row>
    <row r="55" spans="1:12">
      <c r="A55" s="222" t="s">
        <v>184</v>
      </c>
      <c r="B55" s="7"/>
      <c r="C55" s="228" t="s">
        <v>266</v>
      </c>
      <c r="D55" s="7"/>
      <c r="E55" s="68">
        <f>VLOOKUP(A55,'سود اوراق بهادار و سپرده بانکی'!$A$7:$K$116,11,0)</f>
        <v>0</v>
      </c>
      <c r="F55" s="7"/>
      <c r="G55" s="117">
        <f t="shared" si="8"/>
        <v>0</v>
      </c>
      <c r="H55" s="7"/>
      <c r="I55" s="68">
        <f t="shared" si="7"/>
        <v>2311643835.8490567</v>
      </c>
      <c r="J55" s="7"/>
      <c r="K55" s="117">
        <f t="shared" si="9"/>
        <v>7.6083428021572778E-3</v>
      </c>
      <c r="L55" s="164"/>
    </row>
    <row r="56" spans="1:12">
      <c r="A56" s="222" t="s">
        <v>240</v>
      </c>
      <c r="B56" s="7"/>
      <c r="C56" s="228" t="s">
        <v>175</v>
      </c>
      <c r="D56" s="7"/>
      <c r="E56" s="68">
        <f>VLOOKUP(A56,'سود اوراق بهادار و سپرده بانکی'!$A$7:$K$116,11,0)</f>
        <v>0</v>
      </c>
      <c r="F56" s="7"/>
      <c r="G56" s="117">
        <f t="shared" si="8"/>
        <v>0</v>
      </c>
      <c r="H56" s="7"/>
      <c r="I56" s="68">
        <f t="shared" si="7"/>
        <v>739726027.78846145</v>
      </c>
      <c r="J56" s="7"/>
      <c r="K56" s="117">
        <f t="shared" si="9"/>
        <v>2.4346696977328962E-3</v>
      </c>
      <c r="L56" s="164"/>
    </row>
    <row r="57" spans="1:12">
      <c r="A57" s="222" t="s">
        <v>181</v>
      </c>
      <c r="B57" s="7"/>
      <c r="C57" s="228" t="s">
        <v>198</v>
      </c>
      <c r="D57" s="7"/>
      <c r="E57" s="68">
        <f>VLOOKUP(A57,'سود اوراق بهادار و سپرده بانکی'!$A$7:$K$116,11,0)</f>
        <v>617309218</v>
      </c>
      <c r="F57" s="7"/>
      <c r="G57" s="117">
        <f t="shared" si="8"/>
        <v>3.2711172957762602E-2</v>
      </c>
      <c r="H57" s="7"/>
      <c r="I57" s="68">
        <f t="shared" si="7"/>
        <v>4437153919</v>
      </c>
      <c r="J57" s="7"/>
      <c r="K57" s="117">
        <f t="shared" si="9"/>
        <v>1.4604061213127122E-2</v>
      </c>
      <c r="L57" s="164"/>
    </row>
    <row r="58" spans="1:12">
      <c r="A58" s="222" t="s">
        <v>245</v>
      </c>
      <c r="B58" s="7"/>
      <c r="C58" s="228" t="s">
        <v>176</v>
      </c>
      <c r="D58" s="7"/>
      <c r="E58" s="68">
        <f>VLOOKUP(A58,'سود اوراق بهادار و سپرده بانکی'!$A$7:$K$116,11,0)</f>
        <v>0</v>
      </c>
      <c r="F58" s="7"/>
      <c r="G58" s="117">
        <f t="shared" si="8"/>
        <v>0</v>
      </c>
      <c r="H58" s="7"/>
      <c r="I58" s="68">
        <f t="shared" si="7"/>
        <v>901685342.59615386</v>
      </c>
      <c r="J58" s="7"/>
      <c r="K58" s="117">
        <f t="shared" si="9"/>
        <v>2.9677284535627423E-3</v>
      </c>
      <c r="L58" s="164"/>
    </row>
    <row r="59" spans="1:12">
      <c r="A59" s="222" t="s">
        <v>180</v>
      </c>
      <c r="B59" s="7"/>
      <c r="C59" s="228" t="s">
        <v>195</v>
      </c>
      <c r="D59" s="7"/>
      <c r="E59" s="68">
        <f>VLOOKUP(A59,'سود اوراق بهادار و سپرده بانکی'!$A$7:$K$116,11,0)</f>
        <v>0</v>
      </c>
      <c r="F59" s="7"/>
      <c r="G59" s="117">
        <f t="shared" si="8"/>
        <v>0</v>
      </c>
      <c r="H59" s="7"/>
      <c r="I59" s="68">
        <f t="shared" si="7"/>
        <v>10084868826.923077</v>
      </c>
      <c r="J59" s="7"/>
      <c r="K59" s="117">
        <f t="shared" si="9"/>
        <v>3.3192457228965043E-2</v>
      </c>
      <c r="L59" s="164"/>
    </row>
    <row r="60" spans="1:12">
      <c r="A60" s="222" t="s">
        <v>174</v>
      </c>
      <c r="B60" s="7"/>
      <c r="C60" s="230" t="s">
        <v>177</v>
      </c>
      <c r="D60" s="7"/>
      <c r="E60" s="68">
        <f>VLOOKUP(A60,'سود اوراق بهادار و سپرده بانکی'!$A$7:$K$116,11,0)</f>
        <v>0</v>
      </c>
      <c r="F60" s="7"/>
      <c r="G60" s="117">
        <f t="shared" si="8"/>
        <v>0</v>
      </c>
      <c r="H60" s="7"/>
      <c r="I60" s="68">
        <f t="shared" si="7"/>
        <v>671999177.59615386</v>
      </c>
      <c r="J60" s="7"/>
      <c r="K60" s="117">
        <f t="shared" si="9"/>
        <v>2.2117594530047481E-3</v>
      </c>
      <c r="L60" s="164"/>
    </row>
    <row r="61" spans="1:12">
      <c r="A61" s="222" t="s">
        <v>178</v>
      </c>
      <c r="B61" s="7"/>
      <c r="C61" s="230" t="s">
        <v>179</v>
      </c>
      <c r="D61" s="7"/>
      <c r="E61" s="68">
        <f>VLOOKUP(A61,'سود اوراق بهادار و سپرده بانکی'!$A$7:$K$116,11,0)</f>
        <v>0</v>
      </c>
      <c r="F61" s="7"/>
      <c r="G61" s="117">
        <f t="shared" si="8"/>
        <v>0</v>
      </c>
      <c r="H61" s="7"/>
      <c r="I61" s="68">
        <f t="shared" si="7"/>
        <v>302054794.61538464</v>
      </c>
      <c r="J61" s="7"/>
      <c r="K61" s="117">
        <f t="shared" si="9"/>
        <v>9.941567930273139E-4</v>
      </c>
      <c r="L61" s="164"/>
    </row>
    <row r="62" spans="1:12">
      <c r="A62" s="222" t="s">
        <v>193</v>
      </c>
      <c r="B62" s="7"/>
      <c r="C62" s="230" t="s">
        <v>191</v>
      </c>
      <c r="D62" s="7"/>
      <c r="E62" s="68">
        <f>VLOOKUP(A62,'سود اوراق بهادار و سپرده بانکی'!$A$7:$K$116,11,0)</f>
        <v>0</v>
      </c>
      <c r="F62" s="7"/>
      <c r="G62" s="117">
        <f t="shared" si="8"/>
        <v>0</v>
      </c>
      <c r="H62" s="7"/>
      <c r="I62" s="68">
        <f t="shared" si="7"/>
        <v>2348124657.4038463</v>
      </c>
      <c r="J62" s="7"/>
      <c r="K62" s="117">
        <f t="shared" si="9"/>
        <v>7.7284125948254984E-3</v>
      </c>
      <c r="L62" s="164"/>
    </row>
    <row r="63" spans="1:12">
      <c r="A63" s="222" t="s">
        <v>194</v>
      </c>
      <c r="B63" s="7"/>
      <c r="C63" s="230" t="s">
        <v>192</v>
      </c>
      <c r="D63" s="7"/>
      <c r="E63" s="68">
        <f>VLOOKUP(A63,'سود اوراق بهادار و سپرده بانکی'!$A$7:$K$116,11,0)</f>
        <v>0</v>
      </c>
      <c r="F63" s="7"/>
      <c r="G63" s="117">
        <f t="shared" si="8"/>
        <v>0</v>
      </c>
      <c r="H63" s="7"/>
      <c r="I63" s="68">
        <f t="shared" si="7"/>
        <v>827146849.32692313</v>
      </c>
      <c r="J63" s="7"/>
      <c r="K63" s="117">
        <f t="shared" si="9"/>
        <v>2.7223989612102572E-3</v>
      </c>
      <c r="L63" s="164"/>
    </row>
    <row r="64" spans="1:12">
      <c r="A64" s="222" t="s">
        <v>187</v>
      </c>
      <c r="B64" s="7"/>
      <c r="C64" s="230" t="s">
        <v>204</v>
      </c>
      <c r="D64" s="7"/>
      <c r="E64" s="68">
        <f>VLOOKUP(A64,'سود اوراق بهادار و سپرده بانکی'!$A$7:$K$116,11,0)</f>
        <v>0</v>
      </c>
      <c r="F64" s="7"/>
      <c r="G64" s="117">
        <f t="shared" si="8"/>
        <v>0</v>
      </c>
      <c r="H64" s="7"/>
      <c r="I64" s="68">
        <f t="shared" si="7"/>
        <v>463895754.30000001</v>
      </c>
      <c r="J64" s="7"/>
      <c r="K64" s="117">
        <f t="shared" si="9"/>
        <v>1.5268260051329941E-3</v>
      </c>
      <c r="L64" s="164"/>
    </row>
    <row r="65" spans="1:12">
      <c r="A65" s="222" t="s">
        <v>188</v>
      </c>
      <c r="B65" s="7"/>
      <c r="C65" s="230" t="s">
        <v>205</v>
      </c>
      <c r="D65" s="7"/>
      <c r="E65" s="68">
        <f>VLOOKUP(A65,'سود اوراق بهادار و سپرده بانکی'!$A$7:$K$116,11,0)</f>
        <v>0</v>
      </c>
      <c r="F65" s="7"/>
      <c r="G65" s="117">
        <f t="shared" si="8"/>
        <v>0</v>
      </c>
      <c r="H65" s="7"/>
      <c r="I65" s="68">
        <f t="shared" si="7"/>
        <v>399452054.40000004</v>
      </c>
      <c r="J65" s="7"/>
      <c r="K65" s="117">
        <f t="shared" si="9"/>
        <v>1.3147216347819881E-3</v>
      </c>
      <c r="L65" s="164"/>
    </row>
    <row r="66" spans="1:12">
      <c r="A66" s="222" t="s">
        <v>190</v>
      </c>
      <c r="B66" s="7"/>
      <c r="C66" s="230" t="s">
        <v>196</v>
      </c>
      <c r="D66" s="7"/>
      <c r="E66" s="68">
        <f>VLOOKUP(A66,'سود اوراق بهادار و سپرده بانکی'!$A$7:$K$116,11,0)</f>
        <v>0</v>
      </c>
      <c r="F66" s="7"/>
      <c r="G66" s="117">
        <f t="shared" si="8"/>
        <v>0</v>
      </c>
      <c r="H66" s="7"/>
      <c r="I66" s="68">
        <f t="shared" si="7"/>
        <v>1150006434.2307694</v>
      </c>
      <c r="J66" s="7"/>
      <c r="K66" s="117">
        <f t="shared" si="9"/>
        <v>3.7850308255209762E-3</v>
      </c>
      <c r="L66" s="164"/>
    </row>
    <row r="67" spans="1:12">
      <c r="A67" s="222" t="s">
        <v>189</v>
      </c>
      <c r="B67" s="7"/>
      <c r="C67" s="230" t="s">
        <v>197</v>
      </c>
      <c r="D67" s="7"/>
      <c r="E67" s="68">
        <f>VLOOKUP(A67,'سود اوراق بهادار و سپرده بانکی'!$A$7:$K$116,11,0)</f>
        <v>0</v>
      </c>
      <c r="F67" s="7"/>
      <c r="G67" s="117">
        <f t="shared" si="8"/>
        <v>0</v>
      </c>
      <c r="H67" s="7"/>
      <c r="I67" s="68">
        <f t="shared" si="7"/>
        <v>561941226.34615386</v>
      </c>
      <c r="J67" s="7"/>
      <c r="K67" s="117">
        <f t="shared" si="9"/>
        <v>1.8495243161608598E-3</v>
      </c>
      <c r="L67" s="164"/>
    </row>
    <row r="68" spans="1:12">
      <c r="A68" s="222" t="s">
        <v>214</v>
      </c>
      <c r="B68" s="7"/>
      <c r="C68" s="230" t="s">
        <v>276</v>
      </c>
      <c r="D68" s="7"/>
      <c r="E68" s="68">
        <f>VLOOKUP(A68,'سود اوراق بهادار و سپرده بانکی'!$A$7:$K$116,11,0)</f>
        <v>0</v>
      </c>
      <c r="F68" s="7"/>
      <c r="G68" s="117">
        <f t="shared" si="8"/>
        <v>0</v>
      </c>
      <c r="H68" s="7"/>
      <c r="I68" s="68">
        <f t="shared" si="7"/>
        <v>788745032.30769229</v>
      </c>
      <c r="J68" s="7"/>
      <c r="K68" s="117">
        <f t="shared" si="9"/>
        <v>2.5960065717006891E-3</v>
      </c>
      <c r="L68" s="164"/>
    </row>
    <row r="69" spans="1:12">
      <c r="A69" s="222" t="s">
        <v>208</v>
      </c>
      <c r="B69" s="7"/>
      <c r="C69" s="230" t="s">
        <v>256</v>
      </c>
      <c r="D69" s="7"/>
      <c r="E69" s="68">
        <f>VLOOKUP(A69,'سود اوراق بهادار و سپرده بانکی'!$A$7:$K$116,11,0)</f>
        <v>0</v>
      </c>
      <c r="F69" s="7"/>
      <c r="G69" s="117">
        <f t="shared" si="8"/>
        <v>0</v>
      </c>
      <c r="H69" s="7"/>
      <c r="I69" s="68">
        <f t="shared" si="7"/>
        <v>5418077054.7115393</v>
      </c>
      <c r="J69" s="7"/>
      <c r="K69" s="117">
        <f t="shared" si="9"/>
        <v>1.7832586024484679E-2</v>
      </c>
      <c r="L69" s="164"/>
    </row>
    <row r="70" spans="1:12">
      <c r="A70" s="222" t="s">
        <v>216</v>
      </c>
      <c r="B70" s="7"/>
      <c r="C70" s="230" t="s">
        <v>277</v>
      </c>
      <c r="D70" s="7"/>
      <c r="E70" s="68">
        <f>VLOOKUP(A70,'سود اوراق بهادار و سپرده بانکی'!$A$7:$K$116,11,0)</f>
        <v>0</v>
      </c>
      <c r="F70" s="7"/>
      <c r="G70" s="117">
        <f t="shared" si="8"/>
        <v>0</v>
      </c>
      <c r="H70" s="7"/>
      <c r="I70" s="68">
        <f t="shared" si="7"/>
        <v>1047149625.2884614</v>
      </c>
      <c r="J70" s="7"/>
      <c r="K70" s="117">
        <f t="shared" si="9"/>
        <v>3.446496900081013E-3</v>
      </c>
      <c r="L70" s="164"/>
    </row>
    <row r="71" spans="1:12">
      <c r="A71" s="222" t="s">
        <v>217</v>
      </c>
      <c r="B71" s="7"/>
      <c r="C71" s="230" t="s">
        <v>278</v>
      </c>
      <c r="D71" s="7"/>
      <c r="E71" s="68">
        <f>VLOOKUP(A71,'سود اوراق بهادار و سپرده بانکی'!$A$7:$K$116,11,0)</f>
        <v>0</v>
      </c>
      <c r="F71" s="7"/>
      <c r="G71" s="117">
        <f t="shared" si="8"/>
        <v>0</v>
      </c>
      <c r="H71" s="7"/>
      <c r="I71" s="68">
        <f t="shared" si="7"/>
        <v>1073709852.4038461</v>
      </c>
      <c r="J71" s="7"/>
      <c r="K71" s="117">
        <f t="shared" si="9"/>
        <v>3.5339149139044001E-3</v>
      </c>
      <c r="L71" s="164"/>
    </row>
    <row r="72" spans="1:12">
      <c r="A72" s="222" t="s">
        <v>200</v>
      </c>
      <c r="B72" s="7"/>
      <c r="C72" s="230" t="s">
        <v>206</v>
      </c>
      <c r="D72" s="7"/>
      <c r="E72" s="68">
        <f>VLOOKUP(A72,'سود اوراق بهادار و سپرده بانکی'!$A$7:$K$116,11,0)</f>
        <v>0</v>
      </c>
      <c r="F72" s="7"/>
      <c r="G72" s="117">
        <f t="shared" ref="G72:G105" si="10">E72/$E$107</f>
        <v>0</v>
      </c>
      <c r="H72" s="7"/>
      <c r="I72" s="68">
        <f t="shared" ref="I72:I106" si="11">VLOOKUP(A72,A,17,0)</f>
        <v>1668747945.2884617</v>
      </c>
      <c r="J72" s="7"/>
      <c r="K72" s="117">
        <f t="shared" si="9"/>
        <v>5.4923713684841419E-3</v>
      </c>
      <c r="L72" s="164"/>
    </row>
    <row r="73" spans="1:12">
      <c r="A73" s="222" t="s">
        <v>209</v>
      </c>
      <c r="B73" s="7"/>
      <c r="C73" s="230" t="s">
        <v>211</v>
      </c>
      <c r="D73" s="7"/>
      <c r="E73" s="68">
        <f>VLOOKUP(A73,'سود اوراق بهادار و سپرده بانکی'!$A$7:$K$116,11,0)</f>
        <v>0</v>
      </c>
      <c r="F73" s="7"/>
      <c r="G73" s="117">
        <f t="shared" si="10"/>
        <v>0</v>
      </c>
      <c r="H73" s="7"/>
      <c r="I73" s="68">
        <f t="shared" si="11"/>
        <v>2388390409.9038463</v>
      </c>
      <c r="J73" s="7"/>
      <c r="K73" s="117">
        <f t="shared" ref="K73:K105" si="12">I73/$I$107</f>
        <v>7.8609397789253365E-3</v>
      </c>
      <c r="L73" s="164"/>
    </row>
    <row r="74" spans="1:12">
      <c r="A74" s="222" t="s">
        <v>215</v>
      </c>
      <c r="B74" s="7"/>
      <c r="C74" s="230" t="s">
        <v>275</v>
      </c>
      <c r="D74" s="7"/>
      <c r="E74" s="68">
        <f>VLOOKUP(A74,'سود اوراق بهادار و سپرده بانکی'!$A$7:$K$116,11,0)</f>
        <v>0</v>
      </c>
      <c r="F74" s="7"/>
      <c r="G74" s="117">
        <f t="shared" si="10"/>
        <v>0</v>
      </c>
      <c r="H74" s="7"/>
      <c r="I74" s="68">
        <f t="shared" si="11"/>
        <v>1653713647.7884614</v>
      </c>
      <c r="J74" s="7"/>
      <c r="K74" s="117">
        <f t="shared" si="12"/>
        <v>5.4428887936187088E-3</v>
      </c>
      <c r="L74" s="164"/>
    </row>
    <row r="75" spans="1:12">
      <c r="A75" s="222" t="s">
        <v>201</v>
      </c>
      <c r="B75" s="7"/>
      <c r="C75" s="230" t="s">
        <v>207</v>
      </c>
      <c r="D75" s="7"/>
      <c r="E75" s="68">
        <f>VLOOKUP(A75,'سود اوراق بهادار و سپرده بانکی'!$A$7:$K$116,11,0)</f>
        <v>0</v>
      </c>
      <c r="F75" s="7"/>
      <c r="G75" s="117">
        <f t="shared" si="10"/>
        <v>0</v>
      </c>
      <c r="H75" s="7"/>
      <c r="I75" s="68">
        <f t="shared" si="11"/>
        <v>188408219.71153846</v>
      </c>
      <c r="J75" s="7"/>
      <c r="K75" s="117">
        <f t="shared" si="12"/>
        <v>6.2011037344039709E-4</v>
      </c>
      <c r="L75" s="164"/>
    </row>
    <row r="76" spans="1:12">
      <c r="A76" s="222" t="s">
        <v>210</v>
      </c>
      <c r="B76" s="7"/>
      <c r="C76" s="230" t="s">
        <v>212</v>
      </c>
      <c r="D76" s="7"/>
      <c r="E76" s="68">
        <f>VLOOKUP(A76,'سود اوراق بهادار و سپرده بانکی'!$A$7:$K$116,11,0)</f>
        <v>0</v>
      </c>
      <c r="F76" s="7"/>
      <c r="G76" s="117">
        <f t="shared" si="10"/>
        <v>0</v>
      </c>
      <c r="H76" s="7"/>
      <c r="I76" s="68">
        <f t="shared" si="11"/>
        <v>367056986.53846151</v>
      </c>
      <c r="J76" s="7"/>
      <c r="K76" s="117">
        <f t="shared" si="12"/>
        <v>1.2080993352878253E-3</v>
      </c>
      <c r="L76" s="164"/>
    </row>
    <row r="77" spans="1:12">
      <c r="A77" s="222" t="s">
        <v>252</v>
      </c>
      <c r="B77" s="7"/>
      <c r="C77" s="230" t="s">
        <v>262</v>
      </c>
      <c r="D77" s="7"/>
      <c r="E77" s="68">
        <f>VLOOKUP(A77,'سود اوراق بهادار و سپرده بانکی'!$A$7:$K$116,11,0)</f>
        <v>0</v>
      </c>
      <c r="F77" s="7"/>
      <c r="G77" s="117">
        <f t="shared" si="10"/>
        <v>0</v>
      </c>
      <c r="H77" s="7"/>
      <c r="I77" s="68">
        <f t="shared" si="11"/>
        <v>7330116550.6730766</v>
      </c>
      <c r="J77" s="7"/>
      <c r="K77" s="117">
        <f t="shared" si="12"/>
        <v>2.4125705972695116E-2</v>
      </c>
      <c r="L77" s="164"/>
    </row>
    <row r="78" spans="1:12">
      <c r="A78" s="222" t="s">
        <v>251</v>
      </c>
      <c r="B78" s="7"/>
      <c r="C78" s="230" t="s">
        <v>263</v>
      </c>
      <c r="D78" s="7"/>
      <c r="E78" s="68">
        <f>VLOOKUP(A78,'سود اوراق بهادار و سپرده بانکی'!$A$7:$K$116,11,0)</f>
        <v>0</v>
      </c>
      <c r="F78" s="7"/>
      <c r="G78" s="117">
        <f t="shared" si="10"/>
        <v>0</v>
      </c>
      <c r="H78" s="7"/>
      <c r="I78" s="68">
        <f t="shared" si="11"/>
        <v>1728328324.3269229</v>
      </c>
      <c r="J78" s="7"/>
      <c r="K78" s="117">
        <f t="shared" si="12"/>
        <v>5.6884690289356193E-3</v>
      </c>
      <c r="L78" s="164"/>
    </row>
    <row r="79" spans="1:12">
      <c r="A79" s="222" t="s">
        <v>248</v>
      </c>
      <c r="B79" s="7"/>
      <c r="C79" s="230" t="s">
        <v>273</v>
      </c>
      <c r="D79" s="7"/>
      <c r="E79" s="68">
        <f>VLOOKUP(A79,'سود اوراق بهادار و سپرده بانکی'!$A$7:$K$116,11,0)</f>
        <v>5541</v>
      </c>
      <c r="F79" s="7"/>
      <c r="G79" s="117">
        <f t="shared" si="10"/>
        <v>2.9361720848134589E-7</v>
      </c>
      <c r="H79" s="7"/>
      <c r="I79" s="68">
        <f t="shared" si="11"/>
        <v>1652657595</v>
      </c>
      <c r="J79" s="7"/>
      <c r="K79" s="117">
        <f t="shared" si="12"/>
        <v>5.4394129936242699E-3</v>
      </c>
      <c r="L79" s="164"/>
    </row>
    <row r="80" spans="1:12">
      <c r="A80" s="222" t="s">
        <v>247</v>
      </c>
      <c r="B80" s="7"/>
      <c r="C80" s="230" t="s">
        <v>274</v>
      </c>
      <c r="D80" s="7"/>
      <c r="E80" s="68">
        <f>VLOOKUP(A80,'سود اوراق بهادار و سپرده بانکی'!$A$7:$K$116,11,0)</f>
        <v>0</v>
      </c>
      <c r="F80" s="7"/>
      <c r="G80" s="117">
        <f t="shared" si="10"/>
        <v>0</v>
      </c>
      <c r="H80" s="7"/>
      <c r="I80" s="68">
        <f t="shared" si="11"/>
        <v>10624191779.423077</v>
      </c>
      <c r="J80" s="7"/>
      <c r="K80" s="117">
        <f t="shared" si="12"/>
        <v>3.4967537732309296E-2</v>
      </c>
      <c r="L80" s="164"/>
    </row>
    <row r="81" spans="1:12">
      <c r="A81" s="222" t="s">
        <v>253</v>
      </c>
      <c r="B81" s="7"/>
      <c r="C81" s="230" t="s">
        <v>255</v>
      </c>
      <c r="D81" s="7"/>
      <c r="E81" s="68">
        <f>VLOOKUP(A81,'سود اوراق بهادار و سپرده بانکی'!$A$7:$K$116,11,0)</f>
        <v>0</v>
      </c>
      <c r="F81" s="7"/>
      <c r="G81" s="117">
        <f t="shared" si="10"/>
        <v>0</v>
      </c>
      <c r="H81" s="7"/>
      <c r="I81" s="68">
        <f t="shared" si="11"/>
        <v>3302586652.5</v>
      </c>
      <c r="J81" s="7"/>
      <c r="K81" s="117">
        <f t="shared" si="12"/>
        <v>1.086984551701926E-2</v>
      </c>
      <c r="L81" s="164"/>
    </row>
    <row r="82" spans="1:12">
      <c r="A82" s="222" t="s">
        <v>249</v>
      </c>
      <c r="B82" s="7"/>
      <c r="C82" s="230" t="s">
        <v>279</v>
      </c>
      <c r="D82" s="7"/>
      <c r="E82" s="68">
        <f>VLOOKUP(A82,'سود اوراق بهادار و سپرده بانکی'!$A$7:$K$116,11,0)</f>
        <v>0</v>
      </c>
      <c r="F82" s="7"/>
      <c r="G82" s="117">
        <f t="shared" si="10"/>
        <v>0</v>
      </c>
      <c r="H82" s="7"/>
      <c r="I82" s="68">
        <f t="shared" si="11"/>
        <v>1127725736.0576923</v>
      </c>
      <c r="J82" s="7"/>
      <c r="K82" s="117">
        <f t="shared" si="12"/>
        <v>3.7116980798171354E-3</v>
      </c>
      <c r="L82" s="164"/>
    </row>
    <row r="83" spans="1:12">
      <c r="A83" s="222" t="s">
        <v>250</v>
      </c>
      <c r="B83" s="7"/>
      <c r="C83" s="230" t="s">
        <v>259</v>
      </c>
      <c r="D83" s="7"/>
      <c r="E83" s="68">
        <f>VLOOKUP(A83,'سود اوراق بهادار و سپرده بانکی'!$A$7:$K$116,11,0)</f>
        <v>38761646.603773579</v>
      </c>
      <c r="F83" s="7"/>
      <c r="G83" s="117">
        <f t="shared" si="10"/>
        <v>2.0539769846490597E-3</v>
      </c>
      <c r="H83" s="7"/>
      <c r="I83" s="68">
        <f t="shared" si="11"/>
        <v>2957140073.2264152</v>
      </c>
      <c r="J83" s="7"/>
      <c r="K83" s="117">
        <f t="shared" si="12"/>
        <v>9.7328727904310922E-3</v>
      </c>
      <c r="L83" s="164"/>
    </row>
    <row r="84" spans="1:12">
      <c r="A84" s="222" t="s">
        <v>246</v>
      </c>
      <c r="B84" s="7"/>
      <c r="C84" s="230" t="s">
        <v>280</v>
      </c>
      <c r="D84" s="7"/>
      <c r="E84" s="68">
        <f>VLOOKUP(A84,'سود اوراق بهادار و سپرده بانکی'!$A$7:$K$116,11,0)</f>
        <v>0</v>
      </c>
      <c r="F84" s="7"/>
      <c r="G84" s="117">
        <f t="shared" si="10"/>
        <v>0</v>
      </c>
      <c r="H84" s="7"/>
      <c r="I84" s="68">
        <f t="shared" si="11"/>
        <v>945049741.15384614</v>
      </c>
      <c r="J84" s="7"/>
      <c r="K84" s="117">
        <f t="shared" si="12"/>
        <v>3.1104542509021557E-3</v>
      </c>
      <c r="L84" s="164"/>
    </row>
    <row r="85" spans="1:12">
      <c r="A85" s="222" t="s">
        <v>291</v>
      </c>
      <c r="B85" s="7"/>
      <c r="C85" s="230" t="s">
        <v>300</v>
      </c>
      <c r="D85" s="7"/>
      <c r="E85" s="68">
        <f>VLOOKUP(A85,'سود اوراق بهادار و سپرده بانکی'!$A$7:$K$116,11,0)</f>
        <v>0</v>
      </c>
      <c r="F85" s="7"/>
      <c r="G85" s="117">
        <f t="shared" si="10"/>
        <v>0</v>
      </c>
      <c r="H85" s="7"/>
      <c r="I85" s="68">
        <f t="shared" si="11"/>
        <v>2037945205.1886792</v>
      </c>
      <c r="J85" s="7"/>
      <c r="K85" s="117">
        <f t="shared" si="12"/>
        <v>6.7075150127498618E-3</v>
      </c>
      <c r="L85" s="164"/>
    </row>
    <row r="86" spans="1:12">
      <c r="A86" s="259" t="s">
        <v>288</v>
      </c>
      <c r="B86" s="7"/>
      <c r="C86" s="230" t="s">
        <v>297</v>
      </c>
      <c r="D86" s="7"/>
      <c r="E86" s="68">
        <f>VLOOKUP(A86,'سود اوراق بهادار و سپرده بانکی'!$A$7:$K$116,11,0)</f>
        <v>355798980</v>
      </c>
      <c r="F86" s="7"/>
      <c r="G86" s="117">
        <f t="shared" si="10"/>
        <v>1.8853763452104353E-2</v>
      </c>
      <c r="H86" s="7"/>
      <c r="I86" s="68">
        <f t="shared" si="11"/>
        <v>2403428423.7735848</v>
      </c>
      <c r="J86" s="7"/>
      <c r="K86" s="117">
        <f t="shared" si="12"/>
        <v>7.9104345855258267E-3</v>
      </c>
      <c r="L86" s="164"/>
    </row>
    <row r="87" spans="1:12">
      <c r="A87" s="259" t="s">
        <v>292</v>
      </c>
      <c r="B87" s="7"/>
      <c r="C87" s="230" t="s">
        <v>301</v>
      </c>
      <c r="D87" s="7"/>
      <c r="E87" s="68">
        <f>VLOOKUP(A87,'سود اوراق بهادار و سپرده بانکی'!$A$7:$K$116,11,0)</f>
        <v>177583564.52830189</v>
      </c>
      <c r="F87" s="7"/>
      <c r="G87" s="117">
        <f t="shared" si="10"/>
        <v>9.4101408570595475E-3</v>
      </c>
      <c r="H87" s="7"/>
      <c r="I87" s="68">
        <f t="shared" si="11"/>
        <v>942558904.52830195</v>
      </c>
      <c r="J87" s="7"/>
      <c r="K87" s="117">
        <f t="shared" si="12"/>
        <v>3.1022561285887554E-3</v>
      </c>
      <c r="L87" s="164"/>
    </row>
    <row r="88" spans="1:12">
      <c r="A88" s="222" t="s">
        <v>285</v>
      </c>
      <c r="B88" s="7"/>
      <c r="C88" s="230" t="s">
        <v>294</v>
      </c>
      <c r="D88" s="7"/>
      <c r="E88" s="68">
        <f>VLOOKUP(A88,'سود اوراق بهادار و سپرده بانکی'!$A$7:$K$116,11,0)</f>
        <v>0</v>
      </c>
      <c r="F88" s="7"/>
      <c r="G88" s="117">
        <f t="shared" si="10"/>
        <v>0</v>
      </c>
      <c r="H88" s="7"/>
      <c r="I88" s="68">
        <f t="shared" si="11"/>
        <v>13019413559.433962</v>
      </c>
      <c r="J88" s="7"/>
      <c r="K88" s="117">
        <f t="shared" si="12"/>
        <v>4.2850961686684466E-2</v>
      </c>
      <c r="L88" s="164"/>
    </row>
    <row r="89" spans="1:12">
      <c r="A89" s="222" t="s">
        <v>293</v>
      </c>
      <c r="B89" s="7"/>
      <c r="C89" s="230" t="s">
        <v>302</v>
      </c>
      <c r="D89" s="7"/>
      <c r="E89" s="68">
        <f>VLOOKUP(A89,'سود اوراق بهادار و سپرده بانکی'!$A$7:$K$116,11,0)</f>
        <v>0</v>
      </c>
      <c r="F89" s="7"/>
      <c r="G89" s="117">
        <f t="shared" si="10"/>
        <v>0</v>
      </c>
      <c r="H89" s="7"/>
      <c r="I89" s="68">
        <f t="shared" si="11"/>
        <v>420181643.20754719</v>
      </c>
      <c r="J89" s="7"/>
      <c r="K89" s="117">
        <f t="shared" si="12"/>
        <v>1.3829491944733591E-3</v>
      </c>
      <c r="L89" s="164"/>
    </row>
    <row r="90" spans="1:12">
      <c r="A90" s="222" t="s">
        <v>286</v>
      </c>
      <c r="B90" s="7"/>
      <c r="C90" s="230" t="s">
        <v>295</v>
      </c>
      <c r="D90" s="7"/>
      <c r="E90" s="68">
        <f>VLOOKUP(A90,'سود اوراق بهادار و سپرده بانکی'!$A$7:$K$116,11,0)</f>
        <v>1346745206.8965516</v>
      </c>
      <c r="F90" s="7"/>
      <c r="G90" s="117">
        <f t="shared" si="10"/>
        <v>7.1363935784984317E-2</v>
      </c>
      <c r="H90" s="7"/>
      <c r="I90" s="68">
        <f t="shared" si="11"/>
        <v>3263802771.4482756</v>
      </c>
      <c r="J90" s="7"/>
      <c r="K90" s="117">
        <f t="shared" si="12"/>
        <v>1.0742195635292894E-2</v>
      </c>
      <c r="L90" s="164"/>
    </row>
    <row r="91" spans="1:12">
      <c r="A91" s="222" t="s">
        <v>289</v>
      </c>
      <c r="B91" s="7"/>
      <c r="C91" s="230" t="s">
        <v>298</v>
      </c>
      <c r="D91" s="7"/>
      <c r="E91" s="68">
        <f>VLOOKUP(A91,'سود اوراق بهادار و سپرده بانکی'!$A$7:$K$116,11,0)</f>
        <v>2511326706.8965516</v>
      </c>
      <c r="F91" s="7"/>
      <c r="G91" s="117">
        <f t="shared" si="10"/>
        <v>0.13307502928417553</v>
      </c>
      <c r="H91" s="7"/>
      <c r="I91" s="68">
        <f t="shared" si="11"/>
        <v>6488777451.5862064</v>
      </c>
      <c r="J91" s="7"/>
      <c r="K91" s="117">
        <f t="shared" si="12"/>
        <v>2.1356595879072088E-2</v>
      </c>
      <c r="L91" s="164"/>
    </row>
    <row r="92" spans="1:12">
      <c r="A92" s="222" t="s">
        <v>287</v>
      </c>
      <c r="B92" s="7"/>
      <c r="C92" s="230" t="s">
        <v>296</v>
      </c>
      <c r="D92" s="7"/>
      <c r="E92" s="68">
        <f>VLOOKUP(A92,'سود اوراق بهادار و سپرده بانکی'!$A$7:$K$116,11,0)</f>
        <v>173040411.2264151</v>
      </c>
      <c r="F92" s="7"/>
      <c r="G92" s="117">
        <f t="shared" si="10"/>
        <v>9.1693994764057291E-3</v>
      </c>
      <c r="H92" s="7"/>
      <c r="I92" s="68">
        <f t="shared" si="11"/>
        <v>380019435.83018863</v>
      </c>
      <c r="J92" s="7"/>
      <c r="K92" s="117">
        <f t="shared" si="12"/>
        <v>1.2507628097546076E-3</v>
      </c>
      <c r="L92" s="164"/>
    </row>
    <row r="93" spans="1:12">
      <c r="A93" s="222" t="s">
        <v>290</v>
      </c>
      <c r="B93" s="7"/>
      <c r="C93" s="230" t="s">
        <v>299</v>
      </c>
      <c r="D93" s="7"/>
      <c r="E93" s="68">
        <f>VLOOKUP(A93,'سود اوراق بهادار و سپرده بانکی'!$A$7:$K$116,11,0)</f>
        <v>189003082.0754717</v>
      </c>
      <c r="F93" s="7"/>
      <c r="G93" s="117">
        <f t="shared" si="10"/>
        <v>1.0015260305607418E-2</v>
      </c>
      <c r="H93" s="7"/>
      <c r="I93" s="68">
        <f t="shared" si="11"/>
        <v>654241438.01886797</v>
      </c>
      <c r="J93" s="7"/>
      <c r="K93" s="117">
        <f t="shared" si="12"/>
        <v>2.153313178539719E-3</v>
      </c>
      <c r="L93" s="164"/>
    </row>
    <row r="94" spans="1:12">
      <c r="A94" s="258" t="s">
        <v>311</v>
      </c>
      <c r="B94" s="7"/>
      <c r="C94" s="230" t="s">
        <v>316</v>
      </c>
      <c r="D94" s="7"/>
      <c r="E94" s="68">
        <f>VLOOKUP(A94,'سود اوراق بهادار و سپرده بانکی'!$A$7:$K$116,11,0)</f>
        <v>348052460.43396223</v>
      </c>
      <c r="F94" s="7"/>
      <c r="G94" s="117">
        <f t="shared" si="10"/>
        <v>1.8443275913676966E-2</v>
      </c>
      <c r="H94" s="7"/>
      <c r="I94" s="68">
        <f t="shared" si="11"/>
        <v>662162460.24528301</v>
      </c>
      <c r="J94" s="7"/>
      <c r="K94" s="117">
        <f t="shared" si="12"/>
        <v>2.1793837398898144E-3</v>
      </c>
      <c r="L94" s="164"/>
    </row>
    <row r="95" spans="1:12">
      <c r="A95" s="258" t="s">
        <v>313</v>
      </c>
      <c r="B95" s="7"/>
      <c r="C95" s="230" t="s">
        <v>318</v>
      </c>
      <c r="D95" s="7"/>
      <c r="E95" s="68">
        <f>VLOOKUP(A95,'سود اوراق بهادار و سپرده بانکی'!$A$7:$K$116,11,0)</f>
        <v>482927106.0754717</v>
      </c>
      <c r="F95" s="7"/>
      <c r="G95" s="117">
        <f t="shared" si="10"/>
        <v>2.5590274099594804E-2</v>
      </c>
      <c r="H95" s="7"/>
      <c r="I95" s="68">
        <f t="shared" si="11"/>
        <v>807917583.52830184</v>
      </c>
      <c r="J95" s="7"/>
      <c r="K95" s="117">
        <f t="shared" si="12"/>
        <v>2.6591094337489588E-3</v>
      </c>
      <c r="L95" s="164"/>
    </row>
    <row r="96" spans="1:12">
      <c r="A96" s="258" t="s">
        <v>312</v>
      </c>
      <c r="B96" s="7"/>
      <c r="C96" s="230" t="s">
        <v>317</v>
      </c>
      <c r="D96" s="7"/>
      <c r="E96" s="68">
        <f>VLOOKUP(A96,'سود اوراق بهادار و سپرده بانکی'!$A$7:$K$116,11,0)</f>
        <v>2814092208.5</v>
      </c>
      <c r="F96" s="7"/>
      <c r="G96" s="117">
        <f t="shared" si="10"/>
        <v>0.14911855236760072</v>
      </c>
      <c r="H96" s="7"/>
      <c r="I96" s="68">
        <f t="shared" si="11"/>
        <v>4369413186.166667</v>
      </c>
      <c r="J96" s="7"/>
      <c r="K96" s="117">
        <f t="shared" si="12"/>
        <v>1.4381105276285732E-2</v>
      </c>
      <c r="L96" s="164"/>
    </row>
    <row r="97" spans="1:12">
      <c r="A97" s="222" t="s">
        <v>314</v>
      </c>
      <c r="B97" s="7"/>
      <c r="C97" s="230" t="s">
        <v>319</v>
      </c>
      <c r="D97" s="7"/>
      <c r="E97" s="68">
        <f>VLOOKUP(A97,'سود اوراق بهادار و سپرده بانکی'!$A$7:$K$116,11,0)</f>
        <v>240410958.96226415</v>
      </c>
      <c r="F97" s="7"/>
      <c r="G97" s="117">
        <f t="shared" si="10"/>
        <v>1.2739360162213212E-2</v>
      </c>
      <c r="H97" s="7"/>
      <c r="I97" s="68">
        <f t="shared" si="11"/>
        <v>343180085.33962262</v>
      </c>
      <c r="J97" s="7"/>
      <c r="K97" s="117">
        <f t="shared" si="12"/>
        <v>1.1295129862332004E-3</v>
      </c>
      <c r="L97" s="164"/>
    </row>
    <row r="98" spans="1:12">
      <c r="A98" s="222" t="s">
        <v>315</v>
      </c>
      <c r="B98" s="7"/>
      <c r="C98" s="230" t="s">
        <v>320</v>
      </c>
      <c r="D98" s="7"/>
      <c r="E98" s="68">
        <f>VLOOKUP(A98,'سود اوراق بهادار و سپرده بانکی'!$A$7:$K$116,11,0)</f>
        <v>178429491.56603774</v>
      </c>
      <c r="F98" s="7"/>
      <c r="G98" s="117">
        <f t="shared" si="10"/>
        <v>9.4549664725439176E-3</v>
      </c>
      <c r="H98" s="7"/>
      <c r="I98" s="68">
        <f t="shared" si="11"/>
        <v>235094274.26415095</v>
      </c>
      <c r="J98" s="7"/>
      <c r="K98" s="117">
        <f t="shared" si="12"/>
        <v>7.7376877946643897E-4</v>
      </c>
      <c r="L98" s="164"/>
    </row>
    <row r="99" spans="1:12">
      <c r="A99" s="258" t="s">
        <v>341</v>
      </c>
      <c r="B99" s="7"/>
      <c r="C99" s="230" t="s">
        <v>352</v>
      </c>
      <c r="D99" s="7"/>
      <c r="E99" s="68">
        <f>VLOOKUP(A99,'سود اوراق بهادار و سپرده بانکی'!$A$7:$K$116,11,0)</f>
        <v>3388803740.4339619</v>
      </c>
      <c r="F99" s="7"/>
      <c r="G99" s="117">
        <f t="shared" si="10"/>
        <v>0.17957247687373459</v>
      </c>
      <c r="H99" s="7"/>
      <c r="I99" s="68">
        <f t="shared" si="11"/>
        <v>3388803740.4339619</v>
      </c>
      <c r="J99" s="7"/>
      <c r="K99" s="117">
        <f t="shared" si="12"/>
        <v>1.1153612916751227E-2</v>
      </c>
      <c r="L99" s="164"/>
    </row>
    <row r="100" spans="1:12">
      <c r="A100" s="222" t="s">
        <v>344</v>
      </c>
      <c r="B100" s="7"/>
      <c r="C100" s="230" t="s">
        <v>355</v>
      </c>
      <c r="D100" s="7"/>
      <c r="E100" s="68">
        <f>VLOOKUP(A100,'سود اوراق بهادار و سپرده بانکی'!$A$7:$K$116,11,0)</f>
        <v>91686760.641509444</v>
      </c>
      <c r="F100" s="7"/>
      <c r="G100" s="117">
        <f t="shared" si="10"/>
        <v>4.8584751334158705E-3</v>
      </c>
      <c r="H100" s="7"/>
      <c r="I100" s="68">
        <f t="shared" si="11"/>
        <v>91686760.641509444</v>
      </c>
      <c r="J100" s="7"/>
      <c r="K100" s="117">
        <f t="shared" si="12"/>
        <v>3.0176980318584668E-4</v>
      </c>
      <c r="L100" s="164"/>
    </row>
    <row r="101" spans="1:12">
      <c r="A101" s="259" t="s">
        <v>345</v>
      </c>
      <c r="B101" s="7"/>
      <c r="C101" s="230" t="s">
        <v>356</v>
      </c>
      <c r="D101" s="7"/>
      <c r="E101" s="68">
        <f>VLOOKUP(A101,'سود اوراق بهادار و سپرده بانکی'!$A$7:$K$116,11,0)</f>
        <v>2538310727</v>
      </c>
      <c r="F101" s="7"/>
      <c r="G101" s="117">
        <f t="shared" si="10"/>
        <v>0.13450491065150616</v>
      </c>
      <c r="H101" s="7"/>
      <c r="I101" s="68">
        <f t="shared" si="11"/>
        <v>2155040573.6415095</v>
      </c>
      <c r="J101" s="7"/>
      <c r="K101" s="117">
        <f t="shared" si="12"/>
        <v>7.092912490474548E-3</v>
      </c>
      <c r="L101" s="164"/>
    </row>
    <row r="102" spans="1:12">
      <c r="A102" s="222" t="s">
        <v>346</v>
      </c>
      <c r="B102" s="7"/>
      <c r="C102" s="230" t="s">
        <v>357</v>
      </c>
      <c r="D102" s="7"/>
      <c r="E102" s="68">
        <f>VLOOKUP(A102,'سود اوراق بهادار و سپرده بانکی'!$A$7:$K$116,11,0)</f>
        <v>1057808224</v>
      </c>
      <c r="F102" s="7"/>
      <c r="G102" s="117">
        <f t="shared" si="10"/>
        <v>5.6053184955692156E-2</v>
      </c>
      <c r="H102" s="7"/>
      <c r="I102" s="68">
        <f t="shared" si="11"/>
        <v>1057808224</v>
      </c>
      <c r="J102" s="7"/>
      <c r="K102" s="117">
        <f t="shared" si="12"/>
        <v>3.4815776817872621E-3</v>
      </c>
      <c r="L102" s="164"/>
    </row>
    <row r="103" spans="1:12">
      <c r="A103" s="222" t="s">
        <v>342</v>
      </c>
      <c r="B103" s="7"/>
      <c r="C103" s="230" t="s">
        <v>353</v>
      </c>
      <c r="D103" s="7"/>
      <c r="E103" s="68">
        <f>VLOOKUP(A103,'سود اوراق بهادار و سپرده بانکی'!$A$7:$K$116,11,0)</f>
        <v>95794280.499999985</v>
      </c>
      <c r="F103" s="7"/>
      <c r="G103" s="117">
        <f t="shared" si="10"/>
        <v>5.0761323278991199E-3</v>
      </c>
      <c r="H103" s="7"/>
      <c r="I103" s="68">
        <f t="shared" si="11"/>
        <v>95794280.499999985</v>
      </c>
      <c r="J103" s="7"/>
      <c r="K103" s="117">
        <f t="shared" si="12"/>
        <v>3.1528893561681053E-4</v>
      </c>
      <c r="L103" s="164"/>
    </row>
    <row r="104" spans="1:12">
      <c r="A104" s="259" t="s">
        <v>343</v>
      </c>
      <c r="B104" s="260"/>
      <c r="C104" s="261" t="s">
        <v>354</v>
      </c>
      <c r="D104" s="7"/>
      <c r="E104" s="68">
        <f>VLOOKUP(A104,'سود اوراق بهادار و سپرده بانکی'!$A$7:$K$116,11,0)</f>
        <v>20222259</v>
      </c>
      <c r="F104" s="7"/>
      <c r="G104" s="117">
        <f t="shared" si="10"/>
        <v>1.0715761120315419E-3</v>
      </c>
      <c r="H104" s="7"/>
      <c r="I104" s="68">
        <f t="shared" si="11"/>
        <v>20222259</v>
      </c>
      <c r="J104" s="7"/>
      <c r="K104" s="117">
        <f t="shared" si="12"/>
        <v>6.6557778633531965E-5</v>
      </c>
      <c r="L104" s="164"/>
    </row>
    <row r="105" spans="1:12">
      <c r="A105" s="259" t="s">
        <v>349</v>
      </c>
      <c r="B105" s="260"/>
      <c r="C105" s="261" t="s">
        <v>360</v>
      </c>
      <c r="D105" s="7"/>
      <c r="E105" s="68">
        <f>VLOOKUP(A105,'سود اوراق بهادار و سپرده بانکی'!$A$7:$K$116,11,0)</f>
        <v>414708903</v>
      </c>
      <c r="F105" s="7"/>
      <c r="G105" s="117">
        <f t="shared" si="10"/>
        <v>2.1975396215704972E-2</v>
      </c>
      <c r="H105" s="7"/>
      <c r="I105" s="68">
        <f t="shared" si="11"/>
        <v>414708903</v>
      </c>
      <c r="J105" s="7"/>
      <c r="K105" s="117">
        <f t="shared" si="12"/>
        <v>1.364936694917659E-3</v>
      </c>
      <c r="L105" s="164"/>
    </row>
    <row r="106" spans="1:12" ht="22.5" thickBot="1">
      <c r="A106" s="222" t="s">
        <v>347</v>
      </c>
      <c r="B106" s="7"/>
      <c r="C106" s="230" t="s">
        <v>358</v>
      </c>
      <c r="D106" s="7"/>
      <c r="E106" s="68">
        <f>VLOOKUP(A106,'سود اوراق بهادار و سپرده بانکی'!$A$7:$K$116,11,0)</f>
        <v>163769862.66666666</v>
      </c>
      <c r="F106" s="7"/>
      <c r="G106" s="117">
        <f>E106/$E$107</f>
        <v>8.6781537465367344E-3</v>
      </c>
      <c r="H106" s="7"/>
      <c r="I106" s="68">
        <f t="shared" si="11"/>
        <v>163769862.66666666</v>
      </c>
      <c r="J106" s="7"/>
      <c r="K106" s="117">
        <f>I106/$I$107</f>
        <v>5.3901783506046135E-4</v>
      </c>
      <c r="L106" s="164"/>
    </row>
    <row r="107" spans="1:12" ht="22.5" thickBot="1">
      <c r="A107" s="223" t="s">
        <v>2</v>
      </c>
      <c r="B107" s="218"/>
      <c r="C107" s="264"/>
      <c r="D107" s="265"/>
      <c r="E107" s="266">
        <f>SUM(E8:E106)</f>
        <v>18871509707.006943</v>
      </c>
      <c r="F107" s="260"/>
      <c r="G107" s="108">
        <f>SUM(G8:G106)</f>
        <v>0.99999999999999978</v>
      </c>
      <c r="H107" s="260"/>
      <c r="I107" s="266">
        <f>SUM(I8:I106)</f>
        <v>303830136990.35889</v>
      </c>
      <c r="J107" s="260"/>
      <c r="K107" s="108">
        <f>SUM(K8:K106)</f>
        <v>1.0000000000000002</v>
      </c>
      <c r="L107" s="164"/>
    </row>
    <row r="108" spans="1:12" ht="22.5" thickTop="1">
      <c r="F108" s="7"/>
      <c r="H108" s="7"/>
      <c r="J108" s="7"/>
    </row>
  </sheetData>
  <autoFilter ref="A7:L7" xr:uid="{00000000-0009-0000-0000-00000C000000}">
    <sortState xmlns:xlrd2="http://schemas.microsoft.com/office/spreadsheetml/2017/richdata2" ref="A8:L40">
      <sortCondition sortBy="cellColor" ref="I8:I40" dxfId="8"/>
      <sortCondition sortBy="cellColor" ref="E8:E40" dxfId="7"/>
      <sortCondition sortBy="cellColor" ref="E8:E40" dxfId="6"/>
      <sortCondition descending="1" sortBy="cellColor" ref="E8:E40" dxfId="5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6" type="noConversion"/>
  <conditionalFormatting sqref="A1:A1048576">
    <cfRule type="duplicateValues" dxfId="1" priority="1"/>
  </conditionalFormatting>
  <pageMargins left="0.7" right="0.7" top="0.75" bottom="0.75" header="0.3" footer="0.3"/>
  <pageSetup paperSize="9" scale="2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00B0F0"/>
  </sheetPr>
  <dimension ref="A1:G15"/>
  <sheetViews>
    <sheetView rightToLeft="1" view="pageBreakPreview" zoomScale="130" zoomScaleNormal="100" zoomScaleSheetLayoutView="130" workbookViewId="0">
      <selection activeCell="A11" sqref="A11"/>
    </sheetView>
  </sheetViews>
  <sheetFormatPr defaultColWidth="9.140625" defaultRowHeight="18"/>
  <cols>
    <col min="1" max="1" width="32.42578125" style="159" customWidth="1"/>
    <col min="2" max="2" width="1.42578125" style="159" customWidth="1"/>
    <col min="3" max="3" width="17.7109375" style="159" bestFit="1" customWidth="1"/>
    <col min="4" max="4" width="0.85546875" style="159" customWidth="1"/>
    <col min="5" max="5" width="18.140625" style="159" customWidth="1"/>
    <col min="6" max="6" width="16.5703125" style="159" customWidth="1"/>
    <col min="7" max="16384" width="9.140625" style="159"/>
  </cols>
  <sheetData>
    <row r="1" spans="1:7" s="224" customFormat="1" ht="18.75">
      <c r="A1" s="320" t="s">
        <v>89</v>
      </c>
      <c r="B1" s="320"/>
      <c r="C1" s="320"/>
      <c r="D1" s="320"/>
      <c r="E1" s="320"/>
    </row>
    <row r="2" spans="1:7" s="224" customFormat="1" ht="18.75">
      <c r="A2" s="320" t="s">
        <v>56</v>
      </c>
      <c r="B2" s="320"/>
      <c r="C2" s="320"/>
      <c r="D2" s="320"/>
      <c r="E2" s="320"/>
    </row>
    <row r="3" spans="1:7" s="224" customFormat="1" ht="18.75">
      <c r="A3" s="320" t="str">
        <f>' سهام'!A3:W3</f>
        <v>برای ماه منتهی به 1402/09/30</v>
      </c>
      <c r="B3" s="320"/>
      <c r="C3" s="320"/>
      <c r="D3" s="320"/>
      <c r="E3" s="320"/>
    </row>
    <row r="4" spans="1:7" ht="18.75">
      <c r="A4" s="323" t="s">
        <v>31</v>
      </c>
      <c r="B4" s="323"/>
      <c r="C4" s="323"/>
      <c r="D4" s="323"/>
      <c r="E4" s="323"/>
    </row>
    <row r="5" spans="1:7" ht="49.5" customHeight="1" thickBot="1">
      <c r="A5" s="212"/>
      <c r="B5" s="213"/>
      <c r="C5" s="225" t="s">
        <v>326</v>
      </c>
      <c r="D5" s="164"/>
      <c r="E5" s="225" t="s">
        <v>364</v>
      </c>
    </row>
    <row r="6" spans="1:7" ht="18.75">
      <c r="A6" s="370"/>
      <c r="B6" s="371"/>
      <c r="C6" s="372" t="s">
        <v>6</v>
      </c>
      <c r="D6" s="214"/>
      <c r="E6" s="372" t="s">
        <v>6</v>
      </c>
    </row>
    <row r="7" spans="1:7" ht="18.75" thickBot="1">
      <c r="A7" s="371"/>
      <c r="B7" s="371"/>
      <c r="C7" s="374"/>
      <c r="D7" s="216"/>
      <c r="E7" s="374"/>
    </row>
    <row r="8" spans="1:7" ht="25.9" customHeight="1">
      <c r="A8" s="226" t="s">
        <v>32</v>
      </c>
      <c r="B8" s="7"/>
      <c r="C8" s="99">
        <v>836347808</v>
      </c>
      <c r="D8" s="68"/>
      <c r="E8" s="68">
        <v>836348284</v>
      </c>
    </row>
    <row r="9" spans="1:7" ht="25.9" customHeight="1">
      <c r="A9" s="226" t="s">
        <v>282</v>
      </c>
      <c r="B9" s="7"/>
      <c r="C9" s="99">
        <v>3000000</v>
      </c>
      <c r="D9" s="68"/>
      <c r="E9" s="68">
        <v>17145766</v>
      </c>
    </row>
    <row r="10" spans="1:7" ht="18.75" thickBot="1">
      <c r="A10" s="227" t="s">
        <v>2</v>
      </c>
      <c r="B10" s="164"/>
      <c r="C10" s="283">
        <f>SUM(C8:C9)</f>
        <v>839347808</v>
      </c>
      <c r="D10" s="68"/>
      <c r="E10" s="284">
        <f>SUM(E8:E9)</f>
        <v>853494050</v>
      </c>
    </row>
    <row r="11" spans="1:7" ht="18.75" thickTop="1">
      <c r="D11" s="68"/>
    </row>
    <row r="12" spans="1:7">
      <c r="F12" s="195"/>
      <c r="G12" s="171"/>
    </row>
    <row r="15" spans="1:7">
      <c r="F15" s="195"/>
      <c r="G15" s="171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16"/>
  <sheetViews>
    <sheetView rightToLeft="1" view="pageBreakPreview" zoomScale="55" zoomScaleNormal="100" zoomScaleSheetLayoutView="55" workbookViewId="0">
      <selection activeCell="O8" sqref="O8:O9"/>
    </sheetView>
  </sheetViews>
  <sheetFormatPr defaultColWidth="9.140625" defaultRowHeight="30.75"/>
  <cols>
    <col min="1" max="1" width="36.7109375" style="20" customWidth="1"/>
    <col min="2" max="2" width="1.85546875" style="20" customWidth="1"/>
    <col min="3" max="3" width="22.5703125" style="24" bestFit="1" customWidth="1"/>
    <col min="4" max="4" width="1.140625" style="24" customWidth="1"/>
    <col min="5" max="5" width="32" style="24" bestFit="1" customWidth="1"/>
    <col min="6" max="6" width="1.42578125" style="24" customWidth="1"/>
    <col min="7" max="7" width="32.140625" style="24" customWidth="1"/>
    <col min="8" max="8" width="1.5703125" style="24" customWidth="1"/>
    <col min="9" max="9" width="20.5703125" style="24" bestFit="1" customWidth="1"/>
    <col min="10" max="10" width="29.140625" style="24" bestFit="1" customWidth="1"/>
    <col min="11" max="11" width="1.42578125" style="24" customWidth="1"/>
    <col min="12" max="12" width="20.7109375" style="24" customWidth="1"/>
    <col min="13" max="13" width="29.140625" style="24" customWidth="1"/>
    <col min="14" max="14" width="1.140625" style="24" customWidth="1"/>
    <col min="15" max="15" width="22.5703125" style="24" bestFit="1" customWidth="1"/>
    <col min="16" max="16" width="1.42578125" style="24" customWidth="1"/>
    <col min="17" max="17" width="18.7109375" style="24" customWidth="1"/>
    <col min="18" max="18" width="1.5703125" style="24" customWidth="1"/>
    <col min="19" max="19" width="32" style="24" bestFit="1" customWidth="1"/>
    <col min="20" max="20" width="1.85546875" style="24" customWidth="1"/>
    <col min="21" max="21" width="37.42578125" style="24" bestFit="1" customWidth="1"/>
    <col min="22" max="22" width="1.5703125" style="20" customWidth="1"/>
    <col min="23" max="23" width="21.85546875" style="31" customWidth="1"/>
    <col min="24" max="24" width="10.140625" style="20" bestFit="1" customWidth="1"/>
    <col min="25" max="16384" width="9.140625" style="20"/>
  </cols>
  <sheetData>
    <row r="1" spans="1:23" ht="31.5">
      <c r="A1" s="294" t="s">
        <v>89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</row>
    <row r="2" spans="1:23" ht="31.5">
      <c r="A2" s="294" t="s">
        <v>50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</row>
    <row r="3" spans="1:23" ht="31.5">
      <c r="A3" s="294" t="s">
        <v>324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</row>
    <row r="4" spans="1:23" ht="31.5">
      <c r="A4" s="301" t="s">
        <v>25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</row>
    <row r="5" spans="1:23" ht="31.5">
      <c r="A5" s="301" t="s">
        <v>26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</row>
    <row r="7" spans="1:23" ht="36.75" customHeight="1" thickBot="1">
      <c r="A7" s="1"/>
      <c r="B7" s="2"/>
      <c r="C7" s="286" t="s">
        <v>303</v>
      </c>
      <c r="D7" s="286"/>
      <c r="E7" s="286"/>
      <c r="F7" s="286"/>
      <c r="G7" s="286"/>
      <c r="H7" s="3"/>
      <c r="I7" s="302" t="s">
        <v>7</v>
      </c>
      <c r="J7" s="302"/>
      <c r="K7" s="302"/>
      <c r="L7" s="302"/>
      <c r="M7" s="302"/>
      <c r="O7" s="287" t="s">
        <v>325</v>
      </c>
      <c r="P7" s="287"/>
      <c r="Q7" s="287"/>
      <c r="R7" s="287"/>
      <c r="S7" s="287"/>
      <c r="T7" s="287"/>
      <c r="U7" s="287"/>
      <c r="V7" s="287"/>
      <c r="W7" s="287"/>
    </row>
    <row r="8" spans="1:23" ht="29.25" customHeight="1">
      <c r="A8" s="295" t="s">
        <v>1</v>
      </c>
      <c r="B8" s="4"/>
      <c r="C8" s="300" t="s">
        <v>3</v>
      </c>
      <c r="D8" s="288"/>
      <c r="E8" s="300" t="s">
        <v>0</v>
      </c>
      <c r="F8" s="288"/>
      <c r="G8" s="290" t="s">
        <v>21</v>
      </c>
      <c r="H8" s="23"/>
      <c r="I8" s="297" t="s">
        <v>4</v>
      </c>
      <c r="J8" s="297"/>
      <c r="K8" s="25"/>
      <c r="L8" s="297" t="s">
        <v>5</v>
      </c>
      <c r="M8" s="297"/>
      <c r="O8" s="298" t="s">
        <v>3</v>
      </c>
      <c r="P8" s="288"/>
      <c r="Q8" s="290" t="s">
        <v>33</v>
      </c>
      <c r="R8" s="22"/>
      <c r="S8" s="298" t="s">
        <v>0</v>
      </c>
      <c r="T8" s="288"/>
      <c r="U8" s="290" t="s">
        <v>21</v>
      </c>
      <c r="V8" s="5"/>
      <c r="W8" s="292" t="s">
        <v>22</v>
      </c>
    </row>
    <row r="9" spans="1:23" ht="49.5" customHeight="1" thickBot="1">
      <c r="A9" s="296"/>
      <c r="B9" s="4"/>
      <c r="C9" s="299"/>
      <c r="D9" s="289"/>
      <c r="E9" s="299"/>
      <c r="F9" s="289"/>
      <c r="G9" s="291"/>
      <c r="H9" s="23"/>
      <c r="I9" s="26" t="s">
        <v>3</v>
      </c>
      <c r="J9" s="26" t="s">
        <v>0</v>
      </c>
      <c r="K9" s="25"/>
      <c r="L9" s="26" t="s">
        <v>3</v>
      </c>
      <c r="M9" s="26" t="s">
        <v>49</v>
      </c>
      <c r="O9" s="299"/>
      <c r="P9" s="288"/>
      <c r="Q9" s="291"/>
      <c r="R9" s="22"/>
      <c r="S9" s="299"/>
      <c r="T9" s="288"/>
      <c r="U9" s="291"/>
      <c r="V9" s="5"/>
      <c r="W9" s="293"/>
    </row>
    <row r="10" spans="1:23" ht="28.5" customHeight="1" thickBot="1">
      <c r="A10" s="63" t="s">
        <v>92</v>
      </c>
      <c r="C10" s="24">
        <v>0</v>
      </c>
      <c r="E10" s="24">
        <v>0</v>
      </c>
      <c r="G10" s="24">
        <v>0</v>
      </c>
      <c r="I10" s="24">
        <v>0</v>
      </c>
      <c r="J10" s="24">
        <v>0</v>
      </c>
      <c r="K10" s="6"/>
      <c r="L10" s="24">
        <v>0</v>
      </c>
      <c r="M10" s="24">
        <v>0</v>
      </c>
      <c r="O10" s="24">
        <v>0</v>
      </c>
      <c r="Q10" s="24">
        <v>0</v>
      </c>
      <c r="S10" s="24">
        <v>0</v>
      </c>
      <c r="U10" s="24">
        <v>0</v>
      </c>
      <c r="V10" s="6"/>
      <c r="W10" s="52">
        <f>U10/درآمدها!$J$5</f>
        <v>0</v>
      </c>
    </row>
    <row r="11" spans="1:23" ht="42" customHeight="1" thickBot="1">
      <c r="A11" s="20" t="s">
        <v>2</v>
      </c>
      <c r="B11" s="4"/>
      <c r="D11" s="27">
        <f>SUM(D10:D10)</f>
        <v>0</v>
      </c>
      <c r="E11" s="27">
        <f>SUM(E10:E10)</f>
        <v>0</v>
      </c>
      <c r="G11" s="27">
        <f>SUM(G10:G10)</f>
        <v>0</v>
      </c>
      <c r="J11" s="27">
        <f>SUM(J10:J10)</f>
        <v>0</v>
      </c>
      <c r="M11" s="27">
        <f>SUM(M10:M10)</f>
        <v>0</v>
      </c>
      <c r="S11" s="27">
        <f>SUM(S10:S10)</f>
        <v>0</v>
      </c>
      <c r="U11" s="28">
        <f>SUM(U10:U10)</f>
        <v>0</v>
      </c>
      <c r="W11" s="29">
        <f>SUM(W10:W10)</f>
        <v>0</v>
      </c>
    </row>
    <row r="12" spans="1:23" ht="31.5" thickTop="1">
      <c r="U12" s="30"/>
    </row>
    <row r="14" spans="1:23">
      <c r="E14" s="60"/>
      <c r="G14" s="60"/>
      <c r="S14" s="60"/>
      <c r="U14" s="60"/>
    </row>
    <row r="15" spans="1:23">
      <c r="G15" s="24" t="s">
        <v>58</v>
      </c>
    </row>
    <row r="16" spans="1:23">
      <c r="E16" s="60"/>
      <c r="G16" s="60"/>
      <c r="S16" s="60"/>
      <c r="U16" s="60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  <mergeCell ref="C7:G7"/>
    <mergeCell ref="O7:W7"/>
    <mergeCell ref="F8:F9"/>
    <mergeCell ref="G8:G9"/>
    <mergeCell ref="U8:U9"/>
    <mergeCell ref="Q8:Q9"/>
    <mergeCell ref="W8:W9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16"/>
  <sheetViews>
    <sheetView rightToLeft="1" view="pageBreakPreview" topLeftCell="G2" zoomScale="55" zoomScaleNormal="50" zoomScaleSheetLayoutView="55" workbookViewId="0">
      <selection activeCell="G17" sqref="A17:XFD24"/>
    </sheetView>
  </sheetViews>
  <sheetFormatPr defaultColWidth="9.140625" defaultRowHeight="15.75"/>
  <cols>
    <col min="1" max="1" width="51.42578125" style="119" customWidth="1"/>
    <col min="2" max="2" width="0.5703125" style="119" customWidth="1"/>
    <col min="3" max="3" width="12.5703125" style="119" customWidth="1"/>
    <col min="4" max="4" width="0.5703125" style="119" customWidth="1"/>
    <col min="5" max="5" width="20.85546875" style="119" customWidth="1"/>
    <col min="6" max="6" width="0.5703125" style="119" hidden="1" customWidth="1"/>
    <col min="7" max="7" width="23.5703125" style="119" customWidth="1"/>
    <col min="8" max="8" width="0.5703125" style="119" customWidth="1"/>
    <col min="9" max="9" width="19.7109375" style="119" customWidth="1"/>
    <col min="10" max="10" width="0.42578125" style="119" customWidth="1"/>
    <col min="11" max="11" width="19.42578125" style="119" customWidth="1"/>
    <col min="12" max="12" width="0.7109375" style="119" customWidth="1"/>
    <col min="13" max="13" width="21.85546875" style="119" bestFit="1" customWidth="1"/>
    <col min="14" max="14" width="1.140625" style="119" hidden="1" customWidth="1"/>
    <col min="15" max="15" width="31" style="119" customWidth="1"/>
    <col min="16" max="16" width="0.5703125" style="119" customWidth="1"/>
    <col min="17" max="17" width="31.42578125" style="119" customWidth="1"/>
    <col min="18" max="18" width="0.5703125" style="119" customWidth="1"/>
    <col min="19" max="19" width="25.7109375" style="119" bestFit="1" customWidth="1"/>
    <col min="20" max="20" width="29" style="119" customWidth="1"/>
    <col min="21" max="21" width="0.5703125" style="119" customWidth="1"/>
    <col min="22" max="22" width="16.140625" style="119" bestFit="1" customWidth="1"/>
    <col min="23" max="23" width="25" style="119" customWidth="1"/>
    <col min="24" max="24" width="0.5703125" style="119" hidden="1" customWidth="1"/>
    <col min="25" max="25" width="17" style="119" customWidth="1"/>
    <col min="26" max="26" width="0.42578125" style="119" hidden="1" customWidth="1"/>
    <col min="27" max="27" width="23" style="119" bestFit="1" customWidth="1"/>
    <col min="28" max="28" width="0.7109375" style="119" customWidth="1"/>
    <col min="29" max="29" width="28.85546875" style="119" customWidth="1"/>
    <col min="30" max="30" width="0.7109375" style="119" hidden="1" customWidth="1"/>
    <col min="31" max="31" width="29.7109375" style="119" customWidth="1"/>
    <col min="32" max="32" width="0.7109375" style="119" hidden="1" customWidth="1"/>
    <col min="33" max="33" width="16.5703125" style="119" customWidth="1"/>
    <col min="34" max="34" width="25.140625" style="119" bestFit="1" customWidth="1"/>
    <col min="35" max="16384" width="9.140625" style="119"/>
  </cols>
  <sheetData>
    <row r="1" spans="1:34" s="118" customFormat="1" ht="24.75">
      <c r="A1" s="312" t="s">
        <v>89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</row>
    <row r="2" spans="1:34" s="118" customFormat="1" ht="24.75">
      <c r="A2" s="312" t="s">
        <v>50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  <c r="AG2" s="312"/>
    </row>
    <row r="3" spans="1:34" s="118" customFormat="1" ht="24.75">
      <c r="A3" s="312" t="str">
        <f>' سهام'!A3:W3</f>
        <v>برای ماه منتهی به 1402/09/30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</row>
    <row r="4" spans="1:34" ht="24.75">
      <c r="A4" s="313" t="s">
        <v>66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</row>
    <row r="5" spans="1:34" ht="24.7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</row>
    <row r="6" spans="1:34" ht="27.75" customHeight="1" thickBot="1">
      <c r="A6" s="305" t="s">
        <v>67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 t="s">
        <v>303</v>
      </c>
      <c r="N6" s="305"/>
      <c r="O6" s="305"/>
      <c r="P6" s="305"/>
      <c r="Q6" s="305"/>
      <c r="R6" s="121"/>
      <c r="S6" s="314" t="s">
        <v>7</v>
      </c>
      <c r="T6" s="314"/>
      <c r="U6" s="314"/>
      <c r="V6" s="314"/>
      <c r="W6" s="314"/>
      <c r="X6" s="120"/>
      <c r="Y6" s="305" t="s">
        <v>325</v>
      </c>
      <c r="Z6" s="305"/>
      <c r="AA6" s="305"/>
      <c r="AB6" s="305"/>
      <c r="AC6" s="305"/>
      <c r="AD6" s="305"/>
      <c r="AE6" s="305"/>
      <c r="AF6" s="305"/>
      <c r="AG6" s="305"/>
    </row>
    <row r="7" spans="1:34" ht="26.25" customHeight="1">
      <c r="A7" s="303" t="s">
        <v>68</v>
      </c>
      <c r="B7" s="122"/>
      <c r="C7" s="309" t="s">
        <v>69</v>
      </c>
      <c r="D7" s="122"/>
      <c r="E7" s="311" t="s">
        <v>74</v>
      </c>
      <c r="F7" s="122"/>
      <c r="G7" s="304" t="s">
        <v>70</v>
      </c>
      <c r="H7" s="122"/>
      <c r="I7" s="309" t="s">
        <v>23</v>
      </c>
      <c r="J7" s="122"/>
      <c r="K7" s="311" t="s">
        <v>71</v>
      </c>
      <c r="L7" s="123"/>
      <c r="M7" s="307" t="s">
        <v>3</v>
      </c>
      <c r="N7" s="304"/>
      <c r="O7" s="304" t="s">
        <v>0</v>
      </c>
      <c r="P7" s="304"/>
      <c r="Q7" s="304" t="s">
        <v>21</v>
      </c>
      <c r="R7" s="122"/>
      <c r="S7" s="306" t="s">
        <v>4</v>
      </c>
      <c r="T7" s="306"/>
      <c r="U7" s="120"/>
      <c r="V7" s="306" t="s">
        <v>5</v>
      </c>
      <c r="W7" s="306"/>
      <c r="X7" s="120"/>
      <c r="Y7" s="307" t="s">
        <v>3</v>
      </c>
      <c r="Z7" s="303"/>
      <c r="AA7" s="304" t="s">
        <v>72</v>
      </c>
      <c r="AB7" s="122"/>
      <c r="AC7" s="304" t="s">
        <v>0</v>
      </c>
      <c r="AD7" s="303"/>
      <c r="AE7" s="304" t="s">
        <v>21</v>
      </c>
      <c r="AF7" s="124"/>
      <c r="AG7" s="304" t="s">
        <v>22</v>
      </c>
    </row>
    <row r="8" spans="1:34" s="128" customFormat="1" ht="55.5" customHeight="1" thickBot="1">
      <c r="A8" s="305"/>
      <c r="B8" s="122"/>
      <c r="C8" s="310"/>
      <c r="D8" s="122"/>
      <c r="E8" s="310"/>
      <c r="F8" s="122"/>
      <c r="G8" s="305"/>
      <c r="H8" s="122"/>
      <c r="I8" s="310"/>
      <c r="J8" s="122"/>
      <c r="K8" s="310"/>
      <c r="L8" s="121"/>
      <c r="M8" s="308"/>
      <c r="N8" s="303"/>
      <c r="O8" s="305"/>
      <c r="P8" s="303"/>
      <c r="Q8" s="305"/>
      <c r="R8" s="122"/>
      <c r="S8" s="125" t="s">
        <v>3</v>
      </c>
      <c r="T8" s="125" t="s">
        <v>0</v>
      </c>
      <c r="U8" s="126"/>
      <c r="V8" s="125" t="s">
        <v>3</v>
      </c>
      <c r="W8" s="125" t="s">
        <v>49</v>
      </c>
      <c r="X8" s="126"/>
      <c r="Y8" s="308"/>
      <c r="Z8" s="303"/>
      <c r="AA8" s="305"/>
      <c r="AB8" s="122"/>
      <c r="AC8" s="305"/>
      <c r="AD8" s="303"/>
      <c r="AE8" s="305"/>
      <c r="AF8" s="124"/>
      <c r="AG8" s="305"/>
      <c r="AH8" s="127"/>
    </row>
    <row r="9" spans="1:34" s="128" customFormat="1" ht="55.5" customHeight="1">
      <c r="A9" s="129" t="s">
        <v>304</v>
      </c>
      <c r="B9" s="122"/>
      <c r="C9" s="121" t="s">
        <v>93</v>
      </c>
      <c r="D9" s="122"/>
      <c r="E9" s="121" t="s">
        <v>93</v>
      </c>
      <c r="F9" s="122"/>
      <c r="G9" s="130" t="s">
        <v>306</v>
      </c>
      <c r="H9" s="130"/>
      <c r="I9" s="130" t="s">
        <v>308</v>
      </c>
      <c r="J9" s="122"/>
      <c r="K9" s="64" t="s">
        <v>284</v>
      </c>
      <c r="L9" s="121"/>
      <c r="M9" s="30">
        <v>198700</v>
      </c>
      <c r="N9" s="122"/>
      <c r="O9" s="30">
        <v>189187765685</v>
      </c>
      <c r="P9" s="122"/>
      <c r="Q9" s="30">
        <v>190002235853</v>
      </c>
      <c r="R9" s="122"/>
      <c r="S9" s="30">
        <v>0</v>
      </c>
      <c r="T9" s="30">
        <v>0</v>
      </c>
      <c r="U9" s="126"/>
      <c r="V9" s="30">
        <v>0</v>
      </c>
      <c r="W9" s="30">
        <v>0</v>
      </c>
      <c r="X9" s="126"/>
      <c r="Y9" s="30">
        <v>198700</v>
      </c>
      <c r="Z9" s="122"/>
      <c r="AA9" s="96" t="s">
        <v>335</v>
      </c>
      <c r="AB9" s="122"/>
      <c r="AC9" s="30">
        <v>189187765685</v>
      </c>
      <c r="AD9" s="30"/>
      <c r="AE9" s="30">
        <v>191531948543</v>
      </c>
      <c r="AF9" s="124"/>
      <c r="AG9" s="131">
        <f>AE9/درآمدها!$J$5</f>
        <v>5.3743373251976874E-2</v>
      </c>
      <c r="AH9" s="132"/>
    </row>
    <row r="10" spans="1:34" s="128" customFormat="1" ht="55.5" customHeight="1">
      <c r="A10" s="129" t="s">
        <v>231</v>
      </c>
      <c r="B10" s="122"/>
      <c r="C10" s="121" t="s">
        <v>93</v>
      </c>
      <c r="D10" s="122"/>
      <c r="E10" s="121" t="s">
        <v>93</v>
      </c>
      <c r="F10" s="122"/>
      <c r="G10" s="130" t="s">
        <v>233</v>
      </c>
      <c r="H10" s="130"/>
      <c r="I10" s="130" t="s">
        <v>234</v>
      </c>
      <c r="J10" s="122"/>
      <c r="K10" s="64" t="s">
        <v>284</v>
      </c>
      <c r="L10" s="121"/>
      <c r="M10" s="30">
        <v>650000</v>
      </c>
      <c r="N10" s="122"/>
      <c r="O10" s="30">
        <v>604000000000</v>
      </c>
      <c r="P10" s="122"/>
      <c r="Q10" s="30">
        <v>604786862511</v>
      </c>
      <c r="R10" s="122"/>
      <c r="S10" s="30">
        <v>0</v>
      </c>
      <c r="T10" s="30">
        <v>0</v>
      </c>
      <c r="U10" s="126"/>
      <c r="V10" s="30">
        <v>150000</v>
      </c>
      <c r="W10" s="30">
        <v>141650572890</v>
      </c>
      <c r="X10" s="126"/>
      <c r="Y10" s="30">
        <v>500000</v>
      </c>
      <c r="Z10" s="122"/>
      <c r="AA10" s="96" t="s">
        <v>336</v>
      </c>
      <c r="AB10" s="122"/>
      <c r="AC10" s="30">
        <v>464615384615</v>
      </c>
      <c r="AD10" s="30"/>
      <c r="AE10" s="30">
        <v>463415990625</v>
      </c>
      <c r="AF10" s="124"/>
      <c r="AG10" s="131">
        <f>AE10/درآمدها!$J$5</f>
        <v>0.13003333775149559</v>
      </c>
      <c r="AH10" s="132"/>
    </row>
    <row r="11" spans="1:34" s="128" customFormat="1" ht="55.5" customHeight="1">
      <c r="A11" s="129" t="s">
        <v>102</v>
      </c>
      <c r="B11" s="122"/>
      <c r="C11" s="121" t="s">
        <v>93</v>
      </c>
      <c r="D11" s="122"/>
      <c r="E11" s="121" t="s">
        <v>93</v>
      </c>
      <c r="F11" s="122"/>
      <c r="G11" s="130" t="s">
        <v>103</v>
      </c>
      <c r="H11" s="20"/>
      <c r="I11" s="130" t="s">
        <v>104</v>
      </c>
      <c r="J11" s="122"/>
      <c r="K11" s="64" t="s">
        <v>284</v>
      </c>
      <c r="L11" s="121"/>
      <c r="M11" s="30">
        <v>200000</v>
      </c>
      <c r="N11" s="109">
        <v>200036250000</v>
      </c>
      <c r="O11" s="30">
        <v>200036250000</v>
      </c>
      <c r="P11" s="30"/>
      <c r="Q11" s="30">
        <v>215255177927</v>
      </c>
      <c r="R11" s="30"/>
      <c r="S11" s="30">
        <v>0</v>
      </c>
      <c r="T11" s="30">
        <v>0</v>
      </c>
      <c r="U11" s="30"/>
      <c r="V11" s="30">
        <v>200000</v>
      </c>
      <c r="W11" s="30">
        <v>216281148125</v>
      </c>
      <c r="X11" s="30"/>
      <c r="Y11" s="30">
        <v>0</v>
      </c>
      <c r="Z11" s="30"/>
      <c r="AA11" s="96"/>
      <c r="AB11" s="30"/>
      <c r="AC11" s="30">
        <v>0</v>
      </c>
      <c r="AD11" s="30"/>
      <c r="AE11" s="30">
        <v>0</v>
      </c>
      <c r="AF11" s="133"/>
      <c r="AG11" s="131">
        <f>AE11/درآمدها!$J$5</f>
        <v>0</v>
      </c>
      <c r="AH11" s="132"/>
    </row>
    <row r="12" spans="1:34" s="128" customFormat="1" ht="55.5" customHeight="1">
      <c r="A12" s="129" t="s">
        <v>305</v>
      </c>
      <c r="B12" s="122"/>
      <c r="C12" s="130" t="s">
        <v>93</v>
      </c>
      <c r="D12" s="20"/>
      <c r="E12" s="130" t="s">
        <v>93</v>
      </c>
      <c r="F12" s="20"/>
      <c r="G12" s="130" t="s">
        <v>307</v>
      </c>
      <c r="H12" s="20"/>
      <c r="I12" s="130" t="s">
        <v>309</v>
      </c>
      <c r="J12" s="130"/>
      <c r="K12" s="64" t="s">
        <v>284</v>
      </c>
      <c r="L12" s="121"/>
      <c r="M12" s="30">
        <v>723000</v>
      </c>
      <c r="N12" s="110"/>
      <c r="O12" s="30">
        <v>739073488003</v>
      </c>
      <c r="P12" s="30"/>
      <c r="Q12" s="30">
        <v>742468825132</v>
      </c>
      <c r="R12" s="30"/>
      <c r="S12" s="30">
        <v>0</v>
      </c>
      <c r="T12" s="30">
        <v>0</v>
      </c>
      <c r="U12" s="30"/>
      <c r="V12" s="30">
        <v>0</v>
      </c>
      <c r="W12" s="30">
        <v>0</v>
      </c>
      <c r="X12" s="30"/>
      <c r="Y12" s="30">
        <v>723000</v>
      </c>
      <c r="Z12" s="30"/>
      <c r="AA12" s="96" t="s">
        <v>337</v>
      </c>
      <c r="AB12" s="30"/>
      <c r="AC12" s="30">
        <v>739073488003</v>
      </c>
      <c r="AD12" s="30"/>
      <c r="AE12" s="30">
        <v>747976363711</v>
      </c>
      <c r="AF12" s="134"/>
      <c r="AG12" s="131">
        <f>AE12/درآمدها!$J$5</f>
        <v>0.20988024820074253</v>
      </c>
      <c r="AH12" s="132"/>
    </row>
    <row r="13" spans="1:34" s="128" customFormat="1" ht="55.5" customHeight="1">
      <c r="A13" s="129" t="s">
        <v>117</v>
      </c>
      <c r="B13" s="122"/>
      <c r="C13" s="130" t="s">
        <v>93</v>
      </c>
      <c r="D13" s="20"/>
      <c r="E13" s="130" t="s">
        <v>93</v>
      </c>
      <c r="F13" s="20"/>
      <c r="G13" s="130" t="s">
        <v>119</v>
      </c>
      <c r="H13" s="20"/>
      <c r="I13" s="130" t="s">
        <v>120</v>
      </c>
      <c r="J13" s="130"/>
      <c r="K13" s="64" t="s">
        <v>284</v>
      </c>
      <c r="L13" s="121"/>
      <c r="M13" s="30">
        <v>176000</v>
      </c>
      <c r="N13" s="110"/>
      <c r="O13" s="30">
        <v>178017411104</v>
      </c>
      <c r="P13" s="30"/>
      <c r="Q13" s="30">
        <v>183637669639</v>
      </c>
      <c r="R13" s="30"/>
      <c r="S13" s="30">
        <v>0</v>
      </c>
      <c r="T13" s="30">
        <v>0</v>
      </c>
      <c r="U13" s="30"/>
      <c r="V13" s="30">
        <v>176000</v>
      </c>
      <c r="W13" s="30">
        <v>183737197644</v>
      </c>
      <c r="X13" s="30"/>
      <c r="Y13" s="30">
        <v>0</v>
      </c>
      <c r="Z13" s="30"/>
      <c r="AA13" s="96"/>
      <c r="AB13" s="30"/>
      <c r="AC13" s="30">
        <v>0</v>
      </c>
      <c r="AD13" s="30"/>
      <c r="AE13" s="30">
        <v>0</v>
      </c>
      <c r="AF13" s="134"/>
      <c r="AG13" s="131">
        <f>AE13/درآمدها!$J$5</f>
        <v>0</v>
      </c>
      <c r="AH13" s="132"/>
    </row>
    <row r="14" spans="1:34" s="128" customFormat="1" ht="55.5" customHeight="1" thickBot="1">
      <c r="A14" s="129" t="s">
        <v>328</v>
      </c>
      <c r="B14" s="122"/>
      <c r="C14" s="130" t="s">
        <v>93</v>
      </c>
      <c r="D14" s="20"/>
      <c r="E14" s="130" t="s">
        <v>93</v>
      </c>
      <c r="F14" s="20"/>
      <c r="G14" s="130" t="s">
        <v>329</v>
      </c>
      <c r="H14" s="20"/>
      <c r="I14" s="130" t="s">
        <v>330</v>
      </c>
      <c r="J14" s="130"/>
      <c r="K14" s="64" t="s">
        <v>284</v>
      </c>
      <c r="L14" s="121"/>
      <c r="M14" s="30">
        <v>0</v>
      </c>
      <c r="N14" s="110"/>
      <c r="O14" s="30">
        <v>0</v>
      </c>
      <c r="P14" s="30"/>
      <c r="Q14" s="30">
        <v>0</v>
      </c>
      <c r="R14" s="30"/>
      <c r="S14" s="30">
        <v>505000</v>
      </c>
      <c r="T14" s="30">
        <v>490678000000</v>
      </c>
      <c r="U14" s="30"/>
      <c r="V14" s="30">
        <v>0</v>
      </c>
      <c r="W14" s="30">
        <v>0</v>
      </c>
      <c r="X14" s="30"/>
      <c r="Y14" s="30">
        <v>505000</v>
      </c>
      <c r="Z14" s="30"/>
      <c r="AA14" s="96" t="s">
        <v>338</v>
      </c>
      <c r="AB14" s="30"/>
      <c r="AC14" s="30">
        <v>490678000000</v>
      </c>
      <c r="AD14" s="30"/>
      <c r="AE14" s="30">
        <v>494204409213</v>
      </c>
      <c r="AF14" s="134"/>
      <c r="AG14" s="131">
        <f>AE14/درآمدها!$J$5</f>
        <v>0.13867248899806425</v>
      </c>
      <c r="AH14" s="132"/>
    </row>
    <row r="15" spans="1:34" s="136" customFormat="1" ht="32.25" thickBot="1">
      <c r="A15" s="1" t="s">
        <v>2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267"/>
      <c r="N15" s="100"/>
      <c r="O15" s="268">
        <f>SUM(O9:O14)</f>
        <v>1910314914792</v>
      </c>
      <c r="P15" s="269"/>
      <c r="Q15" s="268">
        <f>SUM(Q9:Q14)</f>
        <v>1936150771062</v>
      </c>
      <c r="R15" s="269"/>
      <c r="S15" s="267"/>
      <c r="T15" s="268">
        <f>SUM(T9:T14)</f>
        <v>490678000000</v>
      </c>
      <c r="U15" s="269"/>
      <c r="V15" s="267"/>
      <c r="W15" s="268">
        <f>SUM(W9:X14)</f>
        <v>541668918659</v>
      </c>
      <c r="X15" s="269"/>
      <c r="Y15" s="267"/>
      <c r="Z15" s="269"/>
      <c r="AA15" s="269"/>
      <c r="AB15" s="269"/>
      <c r="AC15" s="268">
        <f>SUM(AC9:AC14)</f>
        <v>1883554638303</v>
      </c>
      <c r="AD15" s="269"/>
      <c r="AE15" s="268">
        <f>SUM(AE9:AE14)</f>
        <v>1897128712092</v>
      </c>
      <c r="AF15" s="269"/>
      <c r="AG15" s="270">
        <f>SUM(AG9:AG14)</f>
        <v>0.53232944820227923</v>
      </c>
      <c r="AH15" s="127"/>
    </row>
    <row r="16" spans="1:34" s="137" customFormat="1" ht="32.25" thickTop="1">
      <c r="M16" s="119"/>
      <c r="N16" s="119"/>
      <c r="P16" s="119"/>
      <c r="R16" s="119"/>
      <c r="S16" s="119"/>
      <c r="U16" s="119"/>
      <c r="V16" s="119"/>
      <c r="X16" s="119"/>
      <c r="Y16" s="119"/>
      <c r="Z16" s="119"/>
      <c r="AA16" s="119"/>
      <c r="AB16" s="119"/>
      <c r="AD16" s="119"/>
      <c r="AF16" s="119"/>
    </row>
  </sheetData>
  <mergeCells count="28">
    <mergeCell ref="A1:AG1"/>
    <mergeCell ref="A2:AG2"/>
    <mergeCell ref="A3:AG3"/>
    <mergeCell ref="A4:AG4"/>
    <mergeCell ref="A6:L6"/>
    <mergeCell ref="M6:Q6"/>
    <mergeCell ref="S6:W6"/>
    <mergeCell ref="Y6:AG6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D7:AD8"/>
    <mergeCell ref="AE7:AE8"/>
    <mergeCell ref="AG7:AG8"/>
    <mergeCell ref="S7:T7"/>
    <mergeCell ref="V7:W7"/>
    <mergeCell ref="Y7:Y8"/>
    <mergeCell ref="Z7:Z8"/>
    <mergeCell ref="AA7:AA8"/>
    <mergeCell ref="AC7:AC8"/>
  </mergeCells>
  <pageMargins left="0.25" right="0.25" top="0.75" bottom="0.75" header="0.3" footer="0.3"/>
  <pageSetup paperSize="9"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G22"/>
  <sheetViews>
    <sheetView rightToLeft="1" view="pageBreakPreview" zoomScale="85" zoomScaleNormal="56" zoomScaleSheetLayoutView="85" workbookViewId="0">
      <selection activeCell="A2" sqref="A2:M2"/>
    </sheetView>
  </sheetViews>
  <sheetFormatPr defaultRowHeight="15"/>
  <cols>
    <col min="1" max="1" width="29" customWidth="1"/>
    <col min="2" max="2" width="2" customWidth="1"/>
    <col min="3" max="3" width="15.7109375" customWidth="1"/>
    <col min="4" max="4" width="2" customWidth="1"/>
    <col min="5" max="5" width="15.7109375" customWidth="1"/>
    <col min="6" max="6" width="2" customWidth="1"/>
    <col min="7" max="7" width="15.7109375" customWidth="1"/>
    <col min="8" max="8" width="2" customWidth="1"/>
    <col min="9" max="9" width="15.7109375" customWidth="1"/>
    <col min="10" max="10" width="2" customWidth="1"/>
    <col min="11" max="11" width="21.42578125" customWidth="1"/>
    <col min="12" max="12" width="2" customWidth="1"/>
    <col min="13" max="13" width="41.5703125" customWidth="1"/>
    <col min="14" max="14" width="20.140625" bestFit="1" customWidth="1"/>
    <col min="15" max="15" width="17.28515625" style="106" customWidth="1"/>
    <col min="16" max="16" width="16.7109375" bestFit="1" customWidth="1"/>
  </cols>
  <sheetData>
    <row r="1" spans="1:33" s="118" customFormat="1" ht="24.75">
      <c r="A1" s="306" t="s">
        <v>89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138"/>
      <c r="O1" s="101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</row>
    <row r="2" spans="1:33" s="118" customFormat="1" ht="24.75">
      <c r="A2" s="317" t="s">
        <v>50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138"/>
      <c r="O2" s="101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</row>
    <row r="3" spans="1:33" s="118" customFormat="1" ht="24.75">
      <c r="A3" s="317" t="str">
        <f>' سهام'!A3:W3</f>
        <v>برای ماه منتهی به 1402/09/30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138"/>
      <c r="O3" s="101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</row>
    <row r="5" spans="1:33" s="139" customFormat="1" ht="22.5">
      <c r="A5" s="315" t="s">
        <v>100</v>
      </c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102"/>
      <c r="O5" s="103"/>
      <c r="P5" s="104"/>
    </row>
    <row r="6" spans="1:33" s="139" customFormat="1" ht="22.5">
      <c r="A6" s="315" t="s">
        <v>107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102"/>
      <c r="O6" s="103"/>
      <c r="P6" s="104"/>
    </row>
    <row r="7" spans="1:33" s="139" customFormat="1" ht="47.1" customHeight="1" thickBot="1">
      <c r="A7" s="140"/>
    </row>
    <row r="8" spans="1:33" ht="42">
      <c r="A8" s="141" t="s">
        <v>94</v>
      </c>
      <c r="B8" s="142"/>
      <c r="C8" s="143" t="s">
        <v>95</v>
      </c>
      <c r="D8" s="142"/>
      <c r="E8" s="143" t="s">
        <v>101</v>
      </c>
      <c r="F8" s="142"/>
      <c r="G8" s="143" t="s">
        <v>96</v>
      </c>
      <c r="H8" s="142"/>
      <c r="I8" s="144" t="s">
        <v>97</v>
      </c>
      <c r="J8" s="142"/>
      <c r="K8" s="143" t="s">
        <v>98</v>
      </c>
      <c r="L8" s="142"/>
      <c r="M8" s="248" t="s">
        <v>99</v>
      </c>
      <c r="N8" s="139"/>
      <c r="O8" s="139"/>
      <c r="P8" s="139"/>
      <c r="Q8" s="139"/>
    </row>
    <row r="9" spans="1:33" ht="112.5" customHeight="1">
      <c r="A9" s="145" t="s">
        <v>310</v>
      </c>
      <c r="B9" s="146"/>
      <c r="C9" s="147">
        <v>723000</v>
      </c>
      <c r="D9" s="146"/>
      <c r="E9" s="147">
        <v>1000000</v>
      </c>
      <c r="F9" s="146"/>
      <c r="G9" s="148">
        <v>1034733</v>
      </c>
      <c r="H9" s="146"/>
      <c r="I9" s="149">
        <f>(G9/E9)-1</f>
        <v>3.4732999999999903E-2</v>
      </c>
      <c r="J9" s="146"/>
      <c r="K9" s="147">
        <f>اوراق!AE12</f>
        <v>747976363711</v>
      </c>
      <c r="L9" s="150"/>
      <c r="M9" s="271" t="s">
        <v>283</v>
      </c>
      <c r="N9" s="105"/>
      <c r="O9" s="151"/>
      <c r="P9" s="112"/>
      <c r="Q9" s="139"/>
    </row>
    <row r="10" spans="1:33" ht="112.5" customHeight="1">
      <c r="A10" s="152" t="s">
        <v>236</v>
      </c>
      <c r="B10" s="146"/>
      <c r="C10" s="153">
        <v>500000</v>
      </c>
      <c r="D10" s="146"/>
      <c r="E10" s="153">
        <v>944450</v>
      </c>
      <c r="F10" s="146"/>
      <c r="G10" s="154">
        <v>927000</v>
      </c>
      <c r="H10" s="146"/>
      <c r="I10" s="149">
        <f t="shared" ref="I10" si="0">(G10/E10)-1</f>
        <v>-1.8476361903753458E-2</v>
      </c>
      <c r="J10" s="146"/>
      <c r="K10" s="147">
        <f>اوراق!AE10</f>
        <v>463415990625</v>
      </c>
      <c r="L10" s="150"/>
      <c r="M10" s="272" t="s">
        <v>283</v>
      </c>
      <c r="N10" s="105"/>
      <c r="O10" s="151"/>
      <c r="P10" s="112"/>
      <c r="Q10" s="139"/>
    </row>
    <row r="11" spans="1:33" ht="45" customHeight="1">
      <c r="A11" s="152"/>
      <c r="B11" s="146"/>
      <c r="C11" s="153"/>
      <c r="D11" s="146"/>
      <c r="E11" s="153"/>
      <c r="F11" s="146"/>
      <c r="G11" s="154"/>
      <c r="H11" s="146"/>
      <c r="I11" s="149"/>
      <c r="J11" s="146"/>
      <c r="K11" s="153"/>
      <c r="L11" s="150"/>
      <c r="M11" s="249"/>
      <c r="N11" s="105"/>
      <c r="O11" s="151"/>
      <c r="P11" s="112"/>
      <c r="Q11" s="139"/>
    </row>
    <row r="12" spans="1:33" ht="22.5">
      <c r="A12" s="153"/>
      <c r="B12" s="153"/>
      <c r="C12" s="153"/>
      <c r="D12" s="153"/>
      <c r="E12" s="153"/>
      <c r="F12" s="153"/>
      <c r="G12" s="153"/>
      <c r="H12" s="153"/>
      <c r="I12" s="149"/>
      <c r="J12" s="153"/>
      <c r="K12" s="153"/>
      <c r="L12" s="153"/>
      <c r="M12" s="153"/>
      <c r="N12" s="105"/>
      <c r="O12" s="151"/>
      <c r="P12" s="112"/>
      <c r="Q12" s="139"/>
    </row>
    <row r="13" spans="1:33" ht="22.5">
      <c r="C13" s="155"/>
      <c r="L13" s="150"/>
    </row>
    <row r="14" spans="1:33">
      <c r="C14" s="155"/>
    </row>
    <row r="16" spans="1:33" ht="22.5">
      <c r="G16" s="156"/>
      <c r="N16" s="102"/>
    </row>
    <row r="17" spans="5:14" ht="22.5">
      <c r="E17" s="153"/>
      <c r="N17" s="102"/>
    </row>
    <row r="18" spans="5:14" ht="22.5">
      <c r="N18" s="102"/>
    </row>
    <row r="20" spans="5:14">
      <c r="K20" s="155"/>
      <c r="M20" s="157"/>
    </row>
    <row r="21" spans="5:14">
      <c r="K21" s="155"/>
    </row>
    <row r="22" spans="5:14">
      <c r="M22" s="155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T42"/>
  <sheetViews>
    <sheetView rightToLeft="1" view="pageBreakPreview" topLeftCell="A46" zoomScaleNormal="100" zoomScaleSheetLayoutView="100" workbookViewId="0">
      <selection activeCell="K41" sqref="K41:S41"/>
    </sheetView>
  </sheetViews>
  <sheetFormatPr defaultColWidth="9.140625" defaultRowHeight="16.5"/>
  <cols>
    <col min="1" max="1" width="35" style="158" customWidth="1"/>
    <col min="2" max="2" width="0.7109375" style="158" customWidth="1"/>
    <col min="3" max="3" width="24.28515625" style="158" customWidth="1"/>
    <col min="4" max="4" width="0.7109375" style="158" customWidth="1"/>
    <col min="5" max="5" width="18.28515625" style="158" customWidth="1"/>
    <col min="6" max="6" width="0.7109375" style="158" customWidth="1"/>
    <col min="7" max="7" width="11.5703125" style="158" hidden="1" customWidth="1"/>
    <col min="8" max="8" width="0.7109375" style="158" hidden="1" customWidth="1"/>
    <col min="9" max="9" width="9.85546875" style="172" hidden="1" customWidth="1"/>
    <col min="10" max="10" width="0.5703125" style="158" customWidth="1"/>
    <col min="11" max="11" width="16" style="71" bestFit="1" customWidth="1"/>
    <col min="12" max="12" width="0.7109375" style="158" customWidth="1"/>
    <col min="13" max="13" width="21.85546875" style="158" customWidth="1"/>
    <col min="14" max="14" width="0.42578125" style="158" customWidth="1"/>
    <col min="15" max="15" width="22.140625" style="158" customWidth="1"/>
    <col min="16" max="16" width="0.42578125" style="158" customWidth="1"/>
    <col min="17" max="17" width="20.140625" style="158" bestFit="1" customWidth="1"/>
    <col min="18" max="18" width="0.5703125" style="158" customWidth="1"/>
    <col min="19" max="19" width="12.140625" style="158" customWidth="1"/>
    <col min="21" max="16384" width="9.140625" style="158"/>
  </cols>
  <sheetData>
    <row r="1" spans="1:20" ht="18.75">
      <c r="A1" s="320" t="s">
        <v>89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158"/>
    </row>
    <row r="2" spans="1:20" ht="18.75">
      <c r="A2" s="320" t="s">
        <v>50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158"/>
    </row>
    <row r="3" spans="1:20" ht="18.75">
      <c r="A3" s="320" t="str">
        <f>' سهام'!A3:W3</f>
        <v>برای ماه منتهی به 1402/09/30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158"/>
    </row>
    <row r="4" spans="1:20" ht="18.75">
      <c r="A4" s="323" t="s">
        <v>51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158"/>
    </row>
    <row r="5" spans="1:20" ht="18.75" thickBot="1">
      <c r="A5" s="159"/>
      <c r="B5" s="159"/>
      <c r="C5" s="160"/>
      <c r="D5" s="160"/>
      <c r="E5" s="160"/>
      <c r="F5" s="160"/>
      <c r="G5" s="160"/>
      <c r="H5" s="160"/>
      <c r="I5" s="161"/>
      <c r="J5" s="160"/>
      <c r="K5" s="65"/>
      <c r="L5" s="160"/>
      <c r="M5" s="160"/>
      <c r="N5" s="160"/>
      <c r="O5" s="160"/>
      <c r="P5" s="160"/>
      <c r="Q5" s="160"/>
      <c r="R5" s="160"/>
      <c r="S5" s="160"/>
      <c r="T5" s="158"/>
    </row>
    <row r="6" spans="1:20" ht="18.75" customHeight="1" thickBot="1">
      <c r="A6" s="162"/>
      <c r="B6" s="159"/>
      <c r="C6" s="318" t="s">
        <v>11</v>
      </c>
      <c r="D6" s="318"/>
      <c r="E6" s="318"/>
      <c r="F6" s="318"/>
      <c r="G6" s="318"/>
      <c r="H6" s="318"/>
      <c r="I6" s="318"/>
      <c r="J6" s="163"/>
      <c r="K6" s="66" t="s">
        <v>303</v>
      </c>
      <c r="L6" s="164"/>
      <c r="M6" s="319" t="s">
        <v>7</v>
      </c>
      <c r="N6" s="319"/>
      <c r="O6" s="319"/>
      <c r="P6" s="165"/>
      <c r="Q6" s="256" t="s">
        <v>325</v>
      </c>
      <c r="R6" s="257"/>
      <c r="S6" s="257"/>
      <c r="T6" s="158"/>
    </row>
    <row r="7" spans="1:20" ht="24" customHeight="1">
      <c r="A7" s="326" t="s">
        <v>8</v>
      </c>
      <c r="B7" s="166"/>
      <c r="C7" s="330" t="s">
        <v>9</v>
      </c>
      <c r="D7" s="166"/>
      <c r="E7" s="330" t="s">
        <v>10</v>
      </c>
      <c r="F7" s="166"/>
      <c r="G7" s="330" t="s">
        <v>34</v>
      </c>
      <c r="H7" s="166"/>
      <c r="I7" s="331" t="s">
        <v>87</v>
      </c>
      <c r="J7" s="326"/>
      <c r="K7" s="328" t="s">
        <v>6</v>
      </c>
      <c r="L7" s="166"/>
      <c r="M7" s="333" t="s">
        <v>36</v>
      </c>
      <c r="N7" s="167"/>
      <c r="O7" s="333" t="s">
        <v>37</v>
      </c>
      <c r="P7" s="159"/>
      <c r="Q7" s="324" t="s">
        <v>6</v>
      </c>
      <c r="R7" s="326"/>
      <c r="S7" s="321" t="s">
        <v>22</v>
      </c>
      <c r="T7" s="158"/>
    </row>
    <row r="8" spans="1:20" ht="18.75" thickBot="1">
      <c r="A8" s="327"/>
      <c r="B8" s="166"/>
      <c r="C8" s="322"/>
      <c r="D8" s="168"/>
      <c r="E8" s="322"/>
      <c r="F8" s="168"/>
      <c r="G8" s="322"/>
      <c r="H8" s="168"/>
      <c r="I8" s="332"/>
      <c r="J8" s="326"/>
      <c r="K8" s="329"/>
      <c r="L8" s="166"/>
      <c r="M8" s="334"/>
      <c r="N8" s="159"/>
      <c r="O8" s="334"/>
      <c r="P8" s="159"/>
      <c r="Q8" s="325"/>
      <c r="R8" s="326"/>
      <c r="S8" s="322"/>
      <c r="T8" s="158"/>
    </row>
    <row r="9" spans="1:20" s="159" customFormat="1" ht="19.5" customHeight="1">
      <c r="A9" s="169" t="s">
        <v>220</v>
      </c>
      <c r="C9" s="228" t="s">
        <v>166</v>
      </c>
      <c r="D9" s="229"/>
      <c r="E9" s="169" t="s">
        <v>90</v>
      </c>
      <c r="G9" s="170"/>
      <c r="I9" s="252"/>
      <c r="J9" s="68"/>
      <c r="K9" s="68">
        <v>2581831</v>
      </c>
      <c r="L9" s="68"/>
      <c r="M9" s="67">
        <v>363868264151</v>
      </c>
      <c r="N9" s="68"/>
      <c r="O9" s="67">
        <v>363869915219</v>
      </c>
      <c r="P9" s="68"/>
      <c r="Q9" s="68">
        <v>930763</v>
      </c>
      <c r="S9" s="69">
        <f>Q9/درآمدها!$J$5</f>
        <v>2.6116970927646288E-7</v>
      </c>
    </row>
    <row r="10" spans="1:20" s="159" customFormat="1" ht="19.5" customHeight="1">
      <c r="A10" s="169" t="s">
        <v>182</v>
      </c>
      <c r="C10" s="228" t="s">
        <v>199</v>
      </c>
      <c r="D10" s="229"/>
      <c r="E10" s="169" t="s">
        <v>90</v>
      </c>
      <c r="G10" s="170"/>
      <c r="I10" s="252"/>
      <c r="J10" s="68"/>
      <c r="K10" s="68">
        <v>136000</v>
      </c>
      <c r="L10" s="68"/>
      <c r="M10" s="67">
        <v>0</v>
      </c>
      <c r="N10" s="68"/>
      <c r="O10" s="67">
        <v>0</v>
      </c>
      <c r="P10" s="68"/>
      <c r="Q10" s="68">
        <v>136000</v>
      </c>
      <c r="S10" s="69">
        <f>Q10/درآمدها!$J$5</f>
        <v>3.8161250996869178E-8</v>
      </c>
    </row>
    <row r="11" spans="1:20" s="159" customFormat="1" ht="19.5" customHeight="1">
      <c r="A11" s="169" t="s">
        <v>311</v>
      </c>
      <c r="C11" s="228" t="s">
        <v>316</v>
      </c>
      <c r="D11" s="229"/>
      <c r="E11" s="169" t="s">
        <v>105</v>
      </c>
      <c r="G11" s="170"/>
      <c r="I11" s="113"/>
      <c r="J11" s="68"/>
      <c r="K11" s="68">
        <v>18214000000</v>
      </c>
      <c r="L11" s="68"/>
      <c r="M11" s="67">
        <v>0</v>
      </c>
      <c r="N11" s="68"/>
      <c r="O11" s="67">
        <v>0</v>
      </c>
      <c r="P11" s="68"/>
      <c r="Q11" s="68">
        <v>18214000000</v>
      </c>
      <c r="S11" s="69">
        <f>Q11/درآمدها!$J$5</f>
        <v>5.1108016592424652E-3</v>
      </c>
    </row>
    <row r="12" spans="1:20" s="159" customFormat="1" ht="19.5" customHeight="1">
      <c r="A12" s="169" t="s">
        <v>181</v>
      </c>
      <c r="C12" s="228" t="s">
        <v>198</v>
      </c>
      <c r="D12" s="229"/>
      <c r="E12" s="169" t="s">
        <v>90</v>
      </c>
      <c r="G12" s="170"/>
      <c r="I12" s="113"/>
      <c r="J12" s="68"/>
      <c r="K12" s="68">
        <v>2971230</v>
      </c>
      <c r="L12" s="68"/>
      <c r="M12" s="67">
        <v>64462706329</v>
      </c>
      <c r="N12" s="68"/>
      <c r="O12" s="67">
        <v>63069560000</v>
      </c>
      <c r="P12" s="68"/>
      <c r="Q12" s="68">
        <v>1396117559</v>
      </c>
      <c r="S12" s="69">
        <f>Q12/درآمدها!$J$5</f>
        <v>3.9174700433923027E-4</v>
      </c>
    </row>
    <row r="13" spans="1:20" s="159" customFormat="1" ht="19.5" customHeight="1">
      <c r="A13" s="169" t="s">
        <v>312</v>
      </c>
      <c r="C13" s="228" t="s">
        <v>317</v>
      </c>
      <c r="D13" s="229"/>
      <c r="E13" s="169" t="s">
        <v>105</v>
      </c>
      <c r="G13" s="170"/>
      <c r="I13" s="113"/>
      <c r="J13" s="68"/>
      <c r="K13" s="68">
        <v>150000000000</v>
      </c>
      <c r="L13" s="68"/>
      <c r="M13" s="67">
        <v>0</v>
      </c>
      <c r="N13" s="68"/>
      <c r="O13" s="67">
        <v>0</v>
      </c>
      <c r="P13" s="68"/>
      <c r="Q13" s="68">
        <v>150000000000</v>
      </c>
      <c r="S13" s="69">
        <f>Q13/درآمدها!$J$5</f>
        <v>4.2089615070076303E-2</v>
      </c>
    </row>
    <row r="14" spans="1:20" s="159" customFormat="1" ht="19.5" customHeight="1">
      <c r="A14" s="169" t="s">
        <v>219</v>
      </c>
      <c r="C14" s="228" t="s">
        <v>254</v>
      </c>
      <c r="D14" s="229"/>
      <c r="E14" s="169" t="s">
        <v>90</v>
      </c>
      <c r="G14" s="170"/>
      <c r="I14" s="113"/>
      <c r="J14" s="68"/>
      <c r="K14" s="68">
        <v>11700635224</v>
      </c>
      <c r="L14" s="68"/>
      <c r="M14" s="67">
        <v>1828913657971</v>
      </c>
      <c r="N14" s="68"/>
      <c r="O14" s="67">
        <v>1827201098660</v>
      </c>
      <c r="P14" s="68"/>
      <c r="Q14" s="68">
        <v>13413194535</v>
      </c>
      <c r="S14" s="69">
        <f>Q14/درآمدها!$J$5</f>
        <v>3.7637079655880074E-3</v>
      </c>
    </row>
    <row r="15" spans="1:20" s="159" customFormat="1" ht="19.5" customHeight="1">
      <c r="A15" s="169" t="s">
        <v>248</v>
      </c>
      <c r="C15" s="228" t="s">
        <v>273</v>
      </c>
      <c r="D15" s="229"/>
      <c r="E15" s="169" t="s">
        <v>90</v>
      </c>
      <c r="G15" s="170"/>
      <c r="I15" s="113"/>
      <c r="J15" s="68"/>
      <c r="K15" s="68">
        <v>1348381</v>
      </c>
      <c r="L15" s="68"/>
      <c r="M15" s="67">
        <v>5541</v>
      </c>
      <c r="N15" s="68"/>
      <c r="O15" s="67">
        <v>0</v>
      </c>
      <c r="P15" s="68"/>
      <c r="Q15" s="68">
        <v>1353922</v>
      </c>
      <c r="S15" s="69">
        <f>Q15/درآمدها!$J$5</f>
        <v>3.7990703876605233E-7</v>
      </c>
    </row>
    <row r="16" spans="1:20" s="159" customFormat="1" ht="19.5" customHeight="1">
      <c r="A16" s="169" t="s">
        <v>313</v>
      </c>
      <c r="C16" s="228" t="s">
        <v>318</v>
      </c>
      <c r="D16" s="229"/>
      <c r="E16" s="169" t="s">
        <v>105</v>
      </c>
      <c r="G16" s="170"/>
      <c r="I16" s="113"/>
      <c r="J16" s="68"/>
      <c r="K16" s="68">
        <v>25277000000</v>
      </c>
      <c r="L16" s="68"/>
      <c r="M16" s="67">
        <v>0</v>
      </c>
      <c r="N16" s="68"/>
      <c r="O16" s="67">
        <v>0</v>
      </c>
      <c r="P16" s="68"/>
      <c r="Q16" s="68">
        <v>25277000000</v>
      </c>
      <c r="S16" s="69">
        <f>Q16/درآمدها!$J$5</f>
        <v>7.0926613341754574E-3</v>
      </c>
    </row>
    <row r="17" spans="1:19" s="159" customFormat="1" ht="19.5" customHeight="1">
      <c r="A17" s="169" t="s">
        <v>339</v>
      </c>
      <c r="C17" s="228" t="s">
        <v>350</v>
      </c>
      <c r="D17" s="229"/>
      <c r="E17" s="169" t="s">
        <v>90</v>
      </c>
      <c r="G17" s="170"/>
      <c r="I17" s="113"/>
      <c r="J17" s="68"/>
      <c r="K17" s="68">
        <v>1750229</v>
      </c>
      <c r="L17" s="68"/>
      <c r="M17" s="67">
        <v>199836311396</v>
      </c>
      <c r="N17" s="68"/>
      <c r="O17" s="67">
        <v>199836418600</v>
      </c>
      <c r="P17" s="68"/>
      <c r="Q17" s="68">
        <v>1643025</v>
      </c>
      <c r="S17" s="69">
        <f>Q17/درآمدها!$J$5</f>
        <v>4.6102859867008077E-7</v>
      </c>
    </row>
    <row r="18" spans="1:19" s="159" customFormat="1" ht="19.5" customHeight="1">
      <c r="A18" s="169" t="s">
        <v>218</v>
      </c>
      <c r="C18" s="228" t="s">
        <v>106</v>
      </c>
      <c r="D18" s="229"/>
      <c r="E18" s="169" t="s">
        <v>90</v>
      </c>
      <c r="G18" s="170"/>
      <c r="I18" s="113"/>
      <c r="J18" s="68"/>
      <c r="K18" s="68">
        <v>2376202</v>
      </c>
      <c r="L18" s="68"/>
      <c r="M18" s="67">
        <v>9725</v>
      </c>
      <c r="N18" s="68"/>
      <c r="O18" s="67">
        <v>0</v>
      </c>
      <c r="P18" s="68"/>
      <c r="Q18" s="68">
        <v>2385927</v>
      </c>
      <c r="S18" s="69">
        <f>Q18/درآمدها!$J$5</f>
        <v>6.6948499343534623E-7</v>
      </c>
    </row>
    <row r="19" spans="1:19" s="159" customFormat="1" ht="19.5" customHeight="1">
      <c r="A19" s="169" t="s">
        <v>250</v>
      </c>
      <c r="C19" s="228" t="s">
        <v>259</v>
      </c>
      <c r="D19" s="229"/>
      <c r="E19" s="169" t="s">
        <v>105</v>
      </c>
      <c r="G19" s="170"/>
      <c r="I19" s="113"/>
      <c r="J19" s="68"/>
      <c r="K19" s="68">
        <v>2096000000</v>
      </c>
      <c r="L19" s="68"/>
      <c r="M19" s="67">
        <v>0</v>
      </c>
      <c r="N19" s="68"/>
      <c r="O19" s="67">
        <v>0</v>
      </c>
      <c r="P19" s="68"/>
      <c r="Q19" s="68">
        <v>2096000000</v>
      </c>
      <c r="S19" s="69">
        <f>Q19/درآمدها!$J$5</f>
        <v>5.8813222124586614E-4</v>
      </c>
    </row>
    <row r="20" spans="1:19" s="159" customFormat="1" ht="19.5" customHeight="1">
      <c r="A20" s="169" t="s">
        <v>286</v>
      </c>
      <c r="C20" s="228" t="s">
        <v>295</v>
      </c>
      <c r="D20" s="229"/>
      <c r="E20" s="169" t="s">
        <v>105</v>
      </c>
      <c r="G20" s="170"/>
      <c r="I20" s="113"/>
      <c r="J20" s="68"/>
      <c r="K20" s="68">
        <v>72824000000</v>
      </c>
      <c r="L20" s="68"/>
      <c r="M20" s="67">
        <v>0</v>
      </c>
      <c r="N20" s="68"/>
      <c r="O20" s="67">
        <v>0</v>
      </c>
      <c r="P20" s="68"/>
      <c r="Q20" s="68">
        <v>72824000000</v>
      </c>
      <c r="S20" s="69">
        <f>Q20/درآمدها!$J$5</f>
        <v>2.0434227519088244E-2</v>
      </c>
    </row>
    <row r="21" spans="1:19" s="159" customFormat="1" ht="19.5" customHeight="1">
      <c r="A21" s="169" t="s">
        <v>287</v>
      </c>
      <c r="C21" s="228" t="s">
        <v>296</v>
      </c>
      <c r="D21" s="229"/>
      <c r="E21" s="169" t="s">
        <v>105</v>
      </c>
      <c r="G21" s="170"/>
      <c r="I21" s="113"/>
      <c r="J21" s="68"/>
      <c r="K21" s="68">
        <v>9357000000</v>
      </c>
      <c r="L21" s="68"/>
      <c r="M21" s="67">
        <v>0</v>
      </c>
      <c r="N21" s="68"/>
      <c r="O21" s="67">
        <v>0</v>
      </c>
      <c r="P21" s="68"/>
      <c r="Q21" s="68">
        <v>9357000000</v>
      </c>
      <c r="S21" s="69">
        <f>Q21/درآمدها!$J$5</f>
        <v>2.6255501880713596E-3</v>
      </c>
    </row>
    <row r="22" spans="1:19" s="159" customFormat="1" ht="19.5" customHeight="1">
      <c r="A22" s="169" t="s">
        <v>314</v>
      </c>
      <c r="C22" s="228" t="s">
        <v>319</v>
      </c>
      <c r="D22" s="229"/>
      <c r="E22" s="169" t="s">
        <v>105</v>
      </c>
      <c r="G22" s="170"/>
      <c r="I22" s="113"/>
      <c r="J22" s="68"/>
      <c r="K22" s="68">
        <v>13000000000</v>
      </c>
      <c r="L22" s="68"/>
      <c r="M22" s="67">
        <v>0</v>
      </c>
      <c r="N22" s="68"/>
      <c r="O22" s="67">
        <v>0</v>
      </c>
      <c r="P22" s="68"/>
      <c r="Q22" s="68">
        <v>13000000000</v>
      </c>
      <c r="S22" s="69">
        <f>Q22/درآمدها!$J$5</f>
        <v>3.6477666394066129E-3</v>
      </c>
    </row>
    <row r="23" spans="1:19" s="159" customFormat="1" ht="19.5" customHeight="1">
      <c r="A23" s="169" t="s">
        <v>288</v>
      </c>
      <c r="C23" s="228" t="s">
        <v>297</v>
      </c>
      <c r="D23" s="229"/>
      <c r="E23" s="169" t="s">
        <v>105</v>
      </c>
      <c r="G23" s="170"/>
      <c r="I23" s="252"/>
      <c r="J23" s="68"/>
      <c r="K23" s="68">
        <v>45645000000</v>
      </c>
      <c r="L23" s="68"/>
      <c r="M23" s="67">
        <v>0</v>
      </c>
      <c r="N23" s="68"/>
      <c r="O23" s="67">
        <v>45645000000</v>
      </c>
      <c r="P23" s="68"/>
      <c r="Q23" s="68">
        <v>0</v>
      </c>
      <c r="S23" s="69">
        <f>Q23/درآمدها!$J$5</f>
        <v>0</v>
      </c>
    </row>
    <row r="24" spans="1:19" s="159" customFormat="1" ht="19.5" customHeight="1">
      <c r="A24" s="169" t="s">
        <v>289</v>
      </c>
      <c r="C24" s="228" t="s">
        <v>298</v>
      </c>
      <c r="D24" s="229"/>
      <c r="E24" s="169" t="s">
        <v>105</v>
      </c>
      <c r="G24" s="170"/>
      <c r="I24" s="113"/>
      <c r="J24" s="68"/>
      <c r="K24" s="68">
        <v>155331000000</v>
      </c>
      <c r="L24" s="68"/>
      <c r="M24" s="67">
        <v>0</v>
      </c>
      <c r="N24" s="68"/>
      <c r="O24" s="67">
        <v>58600000000</v>
      </c>
      <c r="P24" s="68"/>
      <c r="Q24" s="68">
        <v>96731000000</v>
      </c>
      <c r="S24" s="69">
        <f>Q24/درآمدها!$J$5</f>
        <v>2.7142470368957006E-2</v>
      </c>
    </row>
    <row r="25" spans="1:19" s="159" customFormat="1" ht="18">
      <c r="A25" s="169" t="s">
        <v>290</v>
      </c>
      <c r="C25" s="228" t="s">
        <v>299</v>
      </c>
      <c r="D25" s="229"/>
      <c r="E25" s="169" t="s">
        <v>105</v>
      </c>
      <c r="G25" s="170"/>
      <c r="I25" s="114"/>
      <c r="J25" s="68"/>
      <c r="K25" s="68">
        <v>23585000000</v>
      </c>
      <c r="L25" s="68"/>
      <c r="M25" s="67">
        <v>0</v>
      </c>
      <c r="N25" s="68">
        <v>64000000000</v>
      </c>
      <c r="O25" s="67">
        <v>23585000000</v>
      </c>
      <c r="P25" s="68"/>
      <c r="Q25" s="68">
        <v>0</v>
      </c>
      <c r="S25" s="69">
        <f>Q25/درآمدها!$J$5</f>
        <v>0</v>
      </c>
    </row>
    <row r="26" spans="1:19" s="159" customFormat="1" ht="18">
      <c r="A26" s="169" t="s">
        <v>244</v>
      </c>
      <c r="C26" s="228" t="s">
        <v>171</v>
      </c>
      <c r="D26" s="229"/>
      <c r="E26" s="169" t="s">
        <v>172</v>
      </c>
      <c r="G26" s="170"/>
      <c r="I26" s="114"/>
      <c r="J26" s="68"/>
      <c r="K26" s="68">
        <v>266424</v>
      </c>
      <c r="L26" s="68"/>
      <c r="M26" s="67">
        <v>0</v>
      </c>
      <c r="N26" s="68"/>
      <c r="O26" s="67">
        <v>0</v>
      </c>
      <c r="P26" s="68"/>
      <c r="Q26" s="68">
        <v>266424</v>
      </c>
      <c r="S26" s="69">
        <f>Q26/درآمدها!$J$5</f>
        <v>7.475789070286672E-8</v>
      </c>
    </row>
    <row r="27" spans="1:19" s="159" customFormat="1" ht="18">
      <c r="A27" s="169" t="s">
        <v>221</v>
      </c>
      <c r="C27" s="228" t="s">
        <v>108</v>
      </c>
      <c r="D27" s="229"/>
      <c r="E27" s="169" t="s">
        <v>90</v>
      </c>
      <c r="G27" s="170"/>
      <c r="I27" s="114"/>
      <c r="J27" s="68"/>
      <c r="K27" s="68">
        <v>567037</v>
      </c>
      <c r="L27" s="68"/>
      <c r="M27" s="67">
        <v>2330</v>
      </c>
      <c r="N27" s="68"/>
      <c r="O27" s="67">
        <v>0</v>
      </c>
      <c r="P27" s="68"/>
      <c r="Q27" s="68">
        <v>569367</v>
      </c>
      <c r="S27" s="69">
        <f>Q27/درآمدها!$J$5</f>
        <v>1.5976291909069422E-7</v>
      </c>
    </row>
    <row r="28" spans="1:19" s="159" customFormat="1" ht="21.75" customHeight="1">
      <c r="A28" s="169" t="s">
        <v>213</v>
      </c>
      <c r="C28" s="228" t="s">
        <v>113</v>
      </c>
      <c r="D28" s="229"/>
      <c r="E28" s="169" t="s">
        <v>90</v>
      </c>
      <c r="G28" s="170"/>
      <c r="I28" s="114"/>
      <c r="J28" s="68"/>
      <c r="K28" s="67">
        <v>1960878</v>
      </c>
      <c r="L28" s="68"/>
      <c r="M28" s="67">
        <v>322432442602</v>
      </c>
      <c r="N28" s="68"/>
      <c r="O28" s="67">
        <v>322431687300</v>
      </c>
      <c r="P28" s="68"/>
      <c r="Q28" s="68">
        <v>2716180</v>
      </c>
      <c r="S28" s="69">
        <f>Q28/درآمدها!$J$5</f>
        <v>7.6215313774026564E-7</v>
      </c>
    </row>
    <row r="29" spans="1:19" s="159" customFormat="1" ht="18.75" customHeight="1">
      <c r="A29" s="169" t="s">
        <v>292</v>
      </c>
      <c r="C29" s="228" t="s">
        <v>301</v>
      </c>
      <c r="D29" s="229"/>
      <c r="E29" s="169" t="s">
        <v>105</v>
      </c>
      <c r="G29" s="170"/>
      <c r="I29" s="114"/>
      <c r="J29" s="68"/>
      <c r="K29" s="67">
        <v>22160000000</v>
      </c>
      <c r="L29" s="68"/>
      <c r="M29" s="67">
        <v>0</v>
      </c>
      <c r="N29" s="68"/>
      <c r="O29" s="67">
        <v>22160000000</v>
      </c>
      <c r="P29" s="68"/>
      <c r="Q29" s="68">
        <v>0</v>
      </c>
      <c r="S29" s="69">
        <f>Q29/درآمدها!$J$5</f>
        <v>0</v>
      </c>
    </row>
    <row r="30" spans="1:19" s="159" customFormat="1" ht="18.75" customHeight="1">
      <c r="A30" s="169" t="s">
        <v>315</v>
      </c>
      <c r="C30" s="228" t="s">
        <v>320</v>
      </c>
      <c r="D30" s="229"/>
      <c r="E30" s="169" t="s">
        <v>105</v>
      </c>
      <c r="G30" s="170"/>
      <c r="I30" s="114"/>
      <c r="J30" s="68"/>
      <c r="K30" s="67">
        <v>9342000000</v>
      </c>
      <c r="L30" s="68"/>
      <c r="M30" s="67">
        <v>0</v>
      </c>
      <c r="N30" s="68"/>
      <c r="O30" s="67">
        <v>0</v>
      </c>
      <c r="P30" s="68"/>
      <c r="Q30" s="68">
        <v>9342000000</v>
      </c>
      <c r="S30" s="69">
        <f>Q30/درآمدها!$J$5</f>
        <v>2.621341226564352E-3</v>
      </c>
    </row>
    <row r="31" spans="1:19" s="159" customFormat="1" ht="18.75" customHeight="1">
      <c r="A31" s="169" t="s">
        <v>340</v>
      </c>
      <c r="C31" s="228" t="s">
        <v>351</v>
      </c>
      <c r="D31" s="229"/>
      <c r="E31" s="169" t="s">
        <v>90</v>
      </c>
      <c r="G31" s="170"/>
      <c r="I31" s="114"/>
      <c r="J31" s="68"/>
      <c r="K31" s="67">
        <v>0</v>
      </c>
      <c r="L31" s="68"/>
      <c r="M31" s="67">
        <v>131075663600</v>
      </c>
      <c r="N31" s="68"/>
      <c r="O31" s="67">
        <v>130198039800</v>
      </c>
      <c r="P31" s="68"/>
      <c r="Q31" s="68">
        <v>877623800</v>
      </c>
      <c r="S31" s="69">
        <f>Q31/درآمدها!$J$5</f>
        <v>2.4625898612225087E-4</v>
      </c>
    </row>
    <row r="32" spans="1:19" s="159" customFormat="1" ht="18.75" customHeight="1">
      <c r="A32" s="169" t="s">
        <v>341</v>
      </c>
      <c r="C32" s="228" t="s">
        <v>352</v>
      </c>
      <c r="D32" s="229"/>
      <c r="E32" s="169" t="s">
        <v>105</v>
      </c>
      <c r="G32" s="170"/>
      <c r="I32" s="114"/>
      <c r="J32" s="68"/>
      <c r="K32" s="67">
        <v>0</v>
      </c>
      <c r="L32" s="68"/>
      <c r="M32" s="67">
        <v>230038000000</v>
      </c>
      <c r="N32" s="68"/>
      <c r="O32" s="67">
        <v>0</v>
      </c>
      <c r="P32" s="68"/>
      <c r="Q32" s="68">
        <v>230038000000</v>
      </c>
      <c r="S32" s="69">
        <f>Q32/درآمدها!$J$5</f>
        <v>6.4548072476601409E-2</v>
      </c>
    </row>
    <row r="33" spans="1:20" s="159" customFormat="1" ht="18.75" customHeight="1">
      <c r="A33" s="169" t="s">
        <v>342</v>
      </c>
      <c r="C33" s="228" t="s">
        <v>353</v>
      </c>
      <c r="D33" s="229"/>
      <c r="E33" s="169" t="s">
        <v>105</v>
      </c>
      <c r="G33" s="170"/>
      <c r="I33" s="114"/>
      <c r="J33" s="68"/>
      <c r="K33" s="67">
        <v>0</v>
      </c>
      <c r="L33" s="68"/>
      <c r="M33" s="67">
        <v>53000000000</v>
      </c>
      <c r="N33" s="68"/>
      <c r="O33" s="67">
        <v>0</v>
      </c>
      <c r="P33" s="68"/>
      <c r="Q33" s="68">
        <v>53000000000</v>
      </c>
      <c r="S33" s="69">
        <f>Q33/درآمدها!$J$5</f>
        <v>1.487166399142696E-2</v>
      </c>
    </row>
    <row r="34" spans="1:20" s="159" customFormat="1" ht="18.75" customHeight="1">
      <c r="A34" s="169" t="s">
        <v>343</v>
      </c>
      <c r="C34" s="228" t="s">
        <v>354</v>
      </c>
      <c r="D34" s="229"/>
      <c r="E34" s="169" t="s">
        <v>105</v>
      </c>
      <c r="G34" s="170"/>
      <c r="I34" s="114"/>
      <c r="J34" s="68"/>
      <c r="K34" s="67">
        <v>0</v>
      </c>
      <c r="L34" s="68"/>
      <c r="M34" s="67">
        <v>10935000000</v>
      </c>
      <c r="N34" s="68"/>
      <c r="O34" s="67">
        <v>0</v>
      </c>
      <c r="P34" s="68"/>
      <c r="Q34" s="68">
        <v>10935000000</v>
      </c>
      <c r="S34" s="69">
        <f>Q34/درآمدها!$J$5</f>
        <v>3.0683329386085624E-3</v>
      </c>
    </row>
    <row r="35" spans="1:20" s="159" customFormat="1" ht="18.75" customHeight="1">
      <c r="A35" s="169" t="s">
        <v>344</v>
      </c>
      <c r="C35" s="228" t="s">
        <v>355</v>
      </c>
      <c r="D35" s="229"/>
      <c r="E35" s="169" t="s">
        <v>105</v>
      </c>
      <c r="G35" s="170"/>
      <c r="I35" s="114"/>
      <c r="J35" s="68"/>
      <c r="K35" s="67">
        <v>0</v>
      </c>
      <c r="L35" s="68"/>
      <c r="M35" s="67">
        <v>6500000000</v>
      </c>
      <c r="N35" s="68"/>
      <c r="O35" s="67">
        <v>0</v>
      </c>
      <c r="P35" s="68"/>
      <c r="Q35" s="68">
        <v>6500000000</v>
      </c>
      <c r="S35" s="69">
        <f>Q35/درآمدها!$J$5</f>
        <v>1.8238833197033065E-3</v>
      </c>
    </row>
    <row r="36" spans="1:20" s="159" customFormat="1" ht="18.75" customHeight="1">
      <c r="A36" s="169" t="s">
        <v>345</v>
      </c>
      <c r="C36" s="228" t="s">
        <v>356</v>
      </c>
      <c r="D36" s="229"/>
      <c r="E36" s="169" t="s">
        <v>105</v>
      </c>
      <c r="G36" s="170"/>
      <c r="I36" s="114"/>
      <c r="J36" s="68"/>
      <c r="K36" s="67">
        <v>0</v>
      </c>
      <c r="L36" s="68"/>
      <c r="M36" s="67">
        <v>339185500000</v>
      </c>
      <c r="N36" s="68"/>
      <c r="O36" s="67">
        <v>0</v>
      </c>
      <c r="P36" s="68"/>
      <c r="Q36" s="68">
        <v>339185500000</v>
      </c>
      <c r="S36" s="69">
        <f>Q36/درآمدها!$J$5</f>
        <v>9.517458088234243E-2</v>
      </c>
    </row>
    <row r="37" spans="1:20" s="159" customFormat="1" ht="18.75" customHeight="1">
      <c r="A37" s="169" t="s">
        <v>346</v>
      </c>
      <c r="C37" s="230" t="s">
        <v>357</v>
      </c>
      <c r="D37" s="229"/>
      <c r="E37" s="169" t="s">
        <v>105</v>
      </c>
      <c r="G37" s="170"/>
      <c r="I37" s="114"/>
      <c r="J37" s="68"/>
      <c r="K37" s="68">
        <v>0</v>
      </c>
      <c r="L37" s="68"/>
      <c r="M37" s="67">
        <v>130000000000</v>
      </c>
      <c r="N37" s="68"/>
      <c r="O37" s="67">
        <v>0</v>
      </c>
      <c r="P37" s="68"/>
      <c r="Q37" s="68">
        <v>130000000000</v>
      </c>
      <c r="S37" s="69">
        <f>Q37/درآمدها!$J$5</f>
        <v>3.6477666394066126E-2</v>
      </c>
    </row>
    <row r="38" spans="1:20" s="159" customFormat="1" ht="18.75" customHeight="1">
      <c r="A38" s="169" t="s">
        <v>347</v>
      </c>
      <c r="C38" s="230" t="s">
        <v>358</v>
      </c>
      <c r="D38" s="229"/>
      <c r="E38" s="169" t="s">
        <v>105</v>
      </c>
      <c r="G38" s="170"/>
      <c r="I38" s="114"/>
      <c r="J38" s="68"/>
      <c r="K38" s="68">
        <v>0</v>
      </c>
      <c r="L38" s="68"/>
      <c r="M38" s="67">
        <v>136032010000</v>
      </c>
      <c r="N38" s="68"/>
      <c r="O38" s="67">
        <v>0</v>
      </c>
      <c r="P38" s="68"/>
      <c r="Q38" s="68">
        <v>136032010000</v>
      </c>
      <c r="S38" s="69">
        <f>Q38/درآمدها!$J$5</f>
        <v>3.8170232920725133E-2</v>
      </c>
    </row>
    <row r="39" spans="1:20" s="159" customFormat="1" ht="18">
      <c r="A39" s="169" t="s">
        <v>348</v>
      </c>
      <c r="C39" s="228" t="s">
        <v>359</v>
      </c>
      <c r="D39" s="229"/>
      <c r="E39" s="169" t="s">
        <v>172</v>
      </c>
      <c r="G39" s="170"/>
      <c r="I39" s="114"/>
      <c r="J39" s="68"/>
      <c r="K39" s="68">
        <v>0</v>
      </c>
      <c r="L39" s="68"/>
      <c r="M39" s="67">
        <v>502800000000</v>
      </c>
      <c r="N39" s="68"/>
      <c r="O39" s="67">
        <v>475370060000</v>
      </c>
      <c r="P39" s="68"/>
      <c r="Q39" s="68">
        <v>27429940000</v>
      </c>
      <c r="S39" s="69">
        <f>Q39/درآمدها!$J$5</f>
        <v>7.6967707733019246E-3</v>
      </c>
    </row>
    <row r="40" spans="1:20" s="159" customFormat="1" ht="18.75" thickBot="1">
      <c r="A40" s="169" t="s">
        <v>349</v>
      </c>
      <c r="C40" s="228" t="s">
        <v>360</v>
      </c>
      <c r="D40" s="229"/>
      <c r="E40" s="169" t="s">
        <v>105</v>
      </c>
      <c r="G40" s="170"/>
      <c r="I40" s="114"/>
      <c r="J40" s="68"/>
      <c r="K40" s="68">
        <v>0</v>
      </c>
      <c r="L40" s="68"/>
      <c r="M40" s="67">
        <v>224250000000</v>
      </c>
      <c r="N40" s="68"/>
      <c r="O40" s="67">
        <v>0</v>
      </c>
      <c r="P40" s="68"/>
      <c r="Q40" s="68">
        <v>224250000000</v>
      </c>
      <c r="S40" s="69">
        <f>Q40/درآمدها!$J$5</f>
        <v>6.2923974529764073E-2</v>
      </c>
    </row>
    <row r="41" spans="1:20" ht="18.75" thickBot="1">
      <c r="A41" s="166" t="s">
        <v>2</v>
      </c>
      <c r="B41" s="166"/>
      <c r="C41" s="166"/>
      <c r="D41" s="166"/>
      <c r="E41" s="166"/>
      <c r="F41" s="166"/>
      <c r="G41" s="166"/>
      <c r="H41" s="166"/>
      <c r="I41" s="250"/>
      <c r="J41" s="247"/>
      <c r="K41" s="251">
        <f>SUM(K9:K40)</f>
        <v>558545593436</v>
      </c>
      <c r="L41" s="273"/>
      <c r="M41" s="251">
        <f>SUM(M9:M40)</f>
        <v>4543329573645</v>
      </c>
      <c r="N41" s="273"/>
      <c r="O41" s="251">
        <f>SUM(O9:O40)</f>
        <v>3531966779579</v>
      </c>
      <c r="P41" s="273"/>
      <c r="Q41" s="251">
        <f>SUM(Q9:Q40)</f>
        <v>1569908387502</v>
      </c>
      <c r="R41" s="273"/>
      <c r="S41" s="70">
        <f>SUM(S9:S40)</f>
        <v>0.44051226483495576</v>
      </c>
      <c r="T41" s="158"/>
    </row>
    <row r="42" spans="1:20" ht="17.25" thickTop="1"/>
  </sheetData>
  <autoFilter ref="A8:S41" xr:uid="{00000000-0009-0000-0000-000004000000}"/>
  <mergeCells count="18">
    <mergeCell ref="S7:S8"/>
    <mergeCell ref="A4:S4"/>
    <mergeCell ref="Q7:Q8"/>
    <mergeCell ref="R7:R8"/>
    <mergeCell ref="A7:A8"/>
    <mergeCell ref="J7:J8"/>
    <mergeCell ref="K7:K8"/>
    <mergeCell ref="C7:C8"/>
    <mergeCell ref="E7:E8"/>
    <mergeCell ref="G7:G8"/>
    <mergeCell ref="I7:I8"/>
    <mergeCell ref="M7:M8"/>
    <mergeCell ref="O7:O8"/>
    <mergeCell ref="C6:I6"/>
    <mergeCell ref="M6:O6"/>
    <mergeCell ref="A1:S1"/>
    <mergeCell ref="A2:S2"/>
    <mergeCell ref="A3:S3"/>
  </mergeCells>
  <phoneticPr fontId="56" type="noConversion"/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14999847407452621"/>
    <pageSetUpPr fitToPage="1"/>
  </sheetPr>
  <dimension ref="A1:M38"/>
  <sheetViews>
    <sheetView rightToLeft="1" view="pageBreakPreview" zoomScaleNormal="100" zoomScaleSheetLayoutView="100" workbookViewId="0">
      <selection activeCell="A12" sqref="A12"/>
    </sheetView>
  </sheetViews>
  <sheetFormatPr defaultColWidth="9.140625" defaultRowHeight="18"/>
  <cols>
    <col min="1" max="1" width="69.5703125" style="194" bestFit="1" customWidth="1"/>
    <col min="2" max="2" width="1" style="194" customWidth="1"/>
    <col min="3" max="3" width="10.85546875" style="7" bestFit="1" customWidth="1"/>
    <col min="4" max="4" width="1.140625" style="7" customWidth="1"/>
    <col min="5" max="5" width="25.28515625" style="83" bestFit="1" customWidth="1"/>
    <col min="6" max="6" width="1" style="7" customWidth="1"/>
    <col min="7" max="7" width="19.7109375" style="7" customWidth="1"/>
    <col min="8" max="8" width="0.42578125" style="7" customWidth="1"/>
    <col min="9" max="9" width="24.5703125" style="7" customWidth="1"/>
    <col min="10" max="10" width="21.28515625" style="201" bestFit="1" customWidth="1"/>
    <col min="11" max="11" width="21.140625" style="201" bestFit="1" customWidth="1"/>
    <col min="12" max="16384" width="9.140625" style="7"/>
  </cols>
  <sheetData>
    <row r="1" spans="1:13" ht="21">
      <c r="A1" s="320" t="s">
        <v>89</v>
      </c>
      <c r="B1" s="320"/>
      <c r="C1" s="320"/>
      <c r="D1" s="320"/>
      <c r="E1" s="320"/>
      <c r="F1" s="320"/>
      <c r="G1" s="320"/>
      <c r="H1" s="320"/>
      <c r="I1" s="320"/>
      <c r="J1" s="173"/>
      <c r="K1" s="173"/>
    </row>
    <row r="2" spans="1:13" ht="21">
      <c r="A2" s="320" t="s">
        <v>50</v>
      </c>
      <c r="B2" s="320"/>
      <c r="C2" s="320"/>
      <c r="D2" s="320"/>
      <c r="E2" s="320"/>
      <c r="F2" s="320"/>
      <c r="G2" s="320"/>
      <c r="H2" s="320"/>
      <c r="I2" s="320"/>
      <c r="J2" s="174"/>
      <c r="K2" s="173"/>
    </row>
    <row r="3" spans="1:13" ht="21.75" thickBot="1">
      <c r="A3" s="320" t="str">
        <f>سپرده!A3</f>
        <v>برای ماه منتهی به 1402/09/30</v>
      </c>
      <c r="B3" s="320"/>
      <c r="C3" s="320"/>
      <c r="D3" s="320"/>
      <c r="E3" s="320"/>
      <c r="F3" s="320"/>
      <c r="G3" s="320"/>
      <c r="H3" s="320"/>
      <c r="I3" s="320"/>
      <c r="J3" s="231"/>
      <c r="K3" s="231"/>
    </row>
    <row r="4" spans="1:13" ht="21.75" thickBot="1">
      <c r="A4" s="175" t="s">
        <v>27</v>
      </c>
      <c r="B4" s="176"/>
      <c r="C4" s="176"/>
      <c r="D4" s="176"/>
      <c r="E4" s="176"/>
      <c r="F4" s="176"/>
      <c r="G4" s="176"/>
      <c r="H4" s="176"/>
      <c r="I4" s="176"/>
      <c r="J4" s="232">
        <v>625645491535</v>
      </c>
      <c r="K4" s="233" t="s">
        <v>88</v>
      </c>
      <c r="M4" s="177"/>
    </row>
    <row r="5" spans="1:13" ht="21.75" customHeight="1" thickBot="1">
      <c r="A5" s="175"/>
      <c r="B5" s="175"/>
      <c r="C5" s="175"/>
      <c r="D5" s="175"/>
      <c r="E5" s="318" t="s">
        <v>325</v>
      </c>
      <c r="F5" s="318"/>
      <c r="G5" s="318"/>
      <c r="H5" s="318"/>
      <c r="I5" s="318"/>
      <c r="J5" s="232">
        <v>3563824467158</v>
      </c>
      <c r="K5" s="233" t="s">
        <v>109</v>
      </c>
    </row>
    <row r="6" spans="1:13" ht="21.75" customHeight="1" thickBot="1">
      <c r="A6" s="178" t="s">
        <v>38</v>
      </c>
      <c r="B6" s="179"/>
      <c r="C6" s="180" t="s">
        <v>39</v>
      </c>
      <c r="D6" s="167"/>
      <c r="E6" s="181" t="s">
        <v>6</v>
      </c>
      <c r="F6" s="167"/>
      <c r="G6" s="180" t="s">
        <v>19</v>
      </c>
      <c r="H6" s="167"/>
      <c r="I6" s="180" t="s">
        <v>86</v>
      </c>
      <c r="J6" s="234"/>
      <c r="K6" s="235"/>
    </row>
    <row r="7" spans="1:13" ht="21" customHeight="1">
      <c r="A7" s="182" t="s">
        <v>281</v>
      </c>
      <c r="B7" s="182"/>
      <c r="C7" s="183" t="s">
        <v>52</v>
      </c>
      <c r="D7" s="176"/>
      <c r="E7" s="184">
        <f>'درآمد سرمایه گذاری در سهام '!S12</f>
        <v>0</v>
      </c>
      <c r="F7" s="176"/>
      <c r="G7" s="185">
        <f>E7/$E$11*100</f>
        <v>0</v>
      </c>
      <c r="H7" s="186"/>
      <c r="I7" s="187">
        <f>E7/$J$5</f>
        <v>0</v>
      </c>
      <c r="J7" s="236"/>
      <c r="K7" s="236"/>
      <c r="L7" s="188"/>
    </row>
    <row r="8" spans="1:13" ht="18.75" customHeight="1">
      <c r="A8" s="182" t="s">
        <v>47</v>
      </c>
      <c r="B8" s="182"/>
      <c r="C8" s="183" t="s">
        <v>53</v>
      </c>
      <c r="D8" s="176"/>
      <c r="E8" s="184">
        <f>'درآمد سرمایه گذاری در اوراق بها'!Q22</f>
        <v>320858062120</v>
      </c>
      <c r="F8" s="176"/>
      <c r="G8" s="185">
        <f t="shared" ref="G8:G10" si="0">E8/$E$11*100</f>
        <v>51.293993957691683</v>
      </c>
      <c r="H8" s="186"/>
      <c r="I8" s="187">
        <f t="shared" ref="I8:I10" si="1">E8/$J$5</f>
        <v>9.0031948845076204E-2</v>
      </c>
      <c r="J8" s="188"/>
      <c r="K8" s="188"/>
      <c r="L8" s="188"/>
    </row>
    <row r="9" spans="1:13" ht="18.75" customHeight="1">
      <c r="A9" s="182" t="s">
        <v>48</v>
      </c>
      <c r="B9" s="182"/>
      <c r="C9" s="183" t="s">
        <v>54</v>
      </c>
      <c r="D9" s="176"/>
      <c r="E9" s="184">
        <f>'درآمد سپرده بانکی'!I107</f>
        <v>303830136990.35889</v>
      </c>
      <c r="F9" s="176"/>
      <c r="G9" s="185">
        <f t="shared" si="0"/>
        <v>48.571823653037846</v>
      </c>
      <c r="H9" s="186"/>
      <c r="I9" s="187">
        <f t="shared" si="1"/>
        <v>8.5253956750751703E-2</v>
      </c>
      <c r="J9" s="188"/>
      <c r="K9" s="157"/>
      <c r="L9" s="188"/>
    </row>
    <row r="10" spans="1:13" ht="19.5" customHeight="1" thickBot="1">
      <c r="A10" s="182" t="s">
        <v>32</v>
      </c>
      <c r="B10" s="182"/>
      <c r="C10" s="183" t="s">
        <v>55</v>
      </c>
      <c r="D10" s="176"/>
      <c r="E10" s="189">
        <f>'سایر درآمدها'!C10</f>
        <v>839347808</v>
      </c>
      <c r="F10" s="176"/>
      <c r="G10" s="185">
        <f t="shared" si="0"/>
        <v>0.13418238927046774</v>
      </c>
      <c r="H10" s="186"/>
      <c r="I10" s="187">
        <f t="shared" si="1"/>
        <v>2.3551884099088207E-4</v>
      </c>
      <c r="J10" s="188"/>
      <c r="K10" s="188"/>
      <c r="L10" s="188"/>
    </row>
    <row r="11" spans="1:13" ht="19.5" customHeight="1" thickBot="1">
      <c r="A11" s="182" t="s">
        <v>2</v>
      </c>
      <c r="B11" s="190"/>
      <c r="C11" s="159"/>
      <c r="D11" s="159"/>
      <c r="E11" s="191">
        <f>SUM(E7:E10)</f>
        <v>625527546918.35889</v>
      </c>
      <c r="F11" s="159"/>
      <c r="G11" s="192">
        <f>SUM(G7:G10)</f>
        <v>99.999999999999986</v>
      </c>
      <c r="H11" s="186"/>
      <c r="I11" s="193">
        <f>SUM(I7:I10)</f>
        <v>0.17552142443681878</v>
      </c>
      <c r="J11" s="188"/>
      <c r="K11" s="188"/>
      <c r="L11" s="188"/>
    </row>
    <row r="12" spans="1:13" ht="18.75" customHeight="1" thickTop="1">
      <c r="J12" s="188"/>
      <c r="K12" s="195"/>
      <c r="L12" s="188"/>
    </row>
    <row r="13" spans="1:13" ht="18" customHeight="1">
      <c r="E13" s="196"/>
      <c r="F13" s="196"/>
      <c r="G13" s="196"/>
      <c r="I13" s="197"/>
      <c r="J13" s="188"/>
      <c r="K13" s="188"/>
      <c r="L13" s="188"/>
    </row>
    <row r="14" spans="1:13" ht="18" customHeight="1">
      <c r="E14" s="196"/>
      <c r="F14" s="196"/>
      <c r="G14" s="196"/>
      <c r="J14" s="188"/>
      <c r="K14" s="188"/>
      <c r="L14" s="188"/>
    </row>
    <row r="15" spans="1:13" ht="18" customHeight="1">
      <c r="E15" s="198"/>
      <c r="F15" s="196"/>
      <c r="G15" s="196"/>
      <c r="H15" s="196"/>
      <c r="J15" s="7"/>
      <c r="K15" s="188"/>
      <c r="L15" s="188"/>
      <c r="M15" s="188"/>
    </row>
    <row r="16" spans="1:13" ht="18" customHeight="1">
      <c r="E16" s="199"/>
      <c r="F16" s="196"/>
      <c r="G16" s="196"/>
      <c r="J16" s="200"/>
      <c r="K16" s="200"/>
    </row>
    <row r="17" spans="3:11" ht="17.45" customHeight="1">
      <c r="E17" s="196"/>
      <c r="F17" s="196"/>
      <c r="G17" s="196"/>
      <c r="J17" s="200"/>
      <c r="K17" s="200"/>
    </row>
    <row r="18" spans="3:11" ht="17.45" customHeight="1">
      <c r="E18" s="196"/>
      <c r="F18" s="196"/>
      <c r="G18" s="196"/>
    </row>
    <row r="19" spans="3:11" ht="17.45" customHeight="1">
      <c r="E19" s="196"/>
    </row>
    <row r="20" spans="3:11">
      <c r="C20" s="195"/>
      <c r="E20" s="195"/>
      <c r="G20" s="195"/>
      <c r="J20" s="195"/>
      <c r="K20" s="202"/>
    </row>
    <row r="21" spans="3:11">
      <c r="C21" s="198"/>
      <c r="G21" s="195"/>
      <c r="J21" s="195"/>
      <c r="K21" s="202"/>
    </row>
    <row r="22" spans="3:11">
      <c r="G22" s="195"/>
    </row>
    <row r="23" spans="3:11">
      <c r="G23" s="198"/>
    </row>
    <row r="27" spans="3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2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</sheetPr>
  <dimension ref="A1:S20"/>
  <sheetViews>
    <sheetView rightToLeft="1" view="pageBreakPreview" zoomScale="80" zoomScaleNormal="100" zoomScaleSheetLayoutView="80" workbookViewId="0">
      <selection activeCell="K7" sqref="K7"/>
    </sheetView>
  </sheetViews>
  <sheetFormatPr defaultColWidth="9.140625" defaultRowHeight="17.25"/>
  <cols>
    <col min="1" max="1" width="24.7109375" style="7" customWidth="1"/>
    <col min="2" max="2" width="0.5703125" style="7" customWidth="1"/>
    <col min="3" max="3" width="15" style="7" customWidth="1"/>
    <col min="4" max="4" width="0.85546875" style="7" customWidth="1"/>
    <col min="5" max="5" width="15.28515625" style="7" bestFit="1" customWidth="1"/>
    <col min="6" max="6" width="1.140625" style="7" customWidth="1"/>
    <col min="7" max="7" width="9.42578125" style="7" bestFit="1" customWidth="1"/>
    <col min="8" max="8" width="0.5703125" style="7" customWidth="1"/>
    <col min="9" max="9" width="19.42578125" style="7" customWidth="1"/>
    <col min="10" max="10" width="1" style="7" customWidth="1"/>
    <col min="11" max="11" width="15.28515625" style="7" customWidth="1"/>
    <col min="12" max="12" width="1.140625" style="7" customWidth="1"/>
    <col min="13" max="13" width="18.28515625" style="7" customWidth="1"/>
    <col min="14" max="14" width="1" style="7" customWidth="1"/>
    <col min="15" max="15" width="19.42578125" style="7" bestFit="1" customWidth="1"/>
    <col min="16" max="16" width="1.140625" style="7" customWidth="1"/>
    <col min="17" max="17" width="16" style="7" bestFit="1" customWidth="1"/>
    <col min="18" max="18" width="1.140625" style="7" customWidth="1"/>
    <col min="19" max="19" width="21.140625" style="7" bestFit="1" customWidth="1"/>
    <col min="20" max="20" width="2.85546875" style="7" customWidth="1"/>
    <col min="21" max="16384" width="9.140625" style="7"/>
  </cols>
  <sheetData>
    <row r="1" spans="1:19" ht="22.5">
      <c r="A1" s="337" t="s">
        <v>89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22.5">
      <c r="A2" s="337" t="s">
        <v>56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</row>
    <row r="3" spans="1:19" ht="22.5">
      <c r="A3" s="337" t="s">
        <v>324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</row>
    <row r="4" spans="1:19" ht="22.5">
      <c r="A4" s="338" t="s">
        <v>75</v>
      </c>
      <c r="B4" s="338"/>
      <c r="C4" s="338"/>
      <c r="D4" s="338"/>
      <c r="E4" s="338"/>
      <c r="F4" s="338"/>
      <c r="G4" s="338"/>
      <c r="H4" s="338"/>
      <c r="I4" s="339"/>
      <c r="J4" s="339"/>
      <c r="K4" s="339"/>
      <c r="L4" s="339"/>
      <c r="M4" s="339"/>
      <c r="N4" s="339"/>
      <c r="O4" s="339"/>
      <c r="P4" s="339"/>
      <c r="Q4" s="338"/>
      <c r="R4" s="338"/>
      <c r="S4" s="338"/>
    </row>
    <row r="6" spans="1:19" ht="18.75">
      <c r="C6" s="335" t="s">
        <v>76</v>
      </c>
      <c r="D6" s="336"/>
      <c r="E6" s="336"/>
      <c r="F6" s="336"/>
      <c r="G6" s="336"/>
      <c r="I6" s="335" t="s">
        <v>77</v>
      </c>
      <c r="J6" s="336"/>
      <c r="K6" s="336"/>
      <c r="L6" s="336"/>
      <c r="M6" s="336"/>
      <c r="O6" s="335" t="s">
        <v>325</v>
      </c>
      <c r="P6" s="336"/>
      <c r="Q6" s="336"/>
      <c r="R6" s="336"/>
      <c r="S6" s="336"/>
    </row>
    <row r="7" spans="1:19" ht="56.25">
      <c r="A7" s="17" t="s">
        <v>78</v>
      </c>
      <c r="C7" s="14" t="s">
        <v>79</v>
      </c>
      <c r="E7" s="14" t="s">
        <v>80</v>
      </c>
      <c r="G7" s="14" t="s">
        <v>81</v>
      </c>
      <c r="I7" s="14" t="s">
        <v>82</v>
      </c>
      <c r="K7" s="14" t="s">
        <v>83</v>
      </c>
      <c r="M7" s="14" t="s">
        <v>84</v>
      </c>
      <c r="O7" s="14" t="s">
        <v>82</v>
      </c>
      <c r="Q7" s="14" t="s">
        <v>83</v>
      </c>
      <c r="S7" s="14" t="s">
        <v>84</v>
      </c>
    </row>
    <row r="8" spans="1:19" ht="21.75">
      <c r="A8" s="62" t="s">
        <v>92</v>
      </c>
      <c r="B8" s="13"/>
      <c r="C8" s="21" t="s">
        <v>91</v>
      </c>
      <c r="D8" s="8"/>
      <c r="E8" s="21" t="s">
        <v>91</v>
      </c>
      <c r="F8" s="8"/>
      <c r="G8" s="34">
        <v>0</v>
      </c>
      <c r="H8" s="8"/>
      <c r="I8" s="32">
        <v>0</v>
      </c>
      <c r="J8" s="32"/>
      <c r="K8" s="32">
        <v>0</v>
      </c>
      <c r="L8" s="32"/>
      <c r="M8" s="32">
        <f>I8+K8</f>
        <v>0</v>
      </c>
      <c r="N8" s="32"/>
      <c r="O8" s="32">
        <v>0</v>
      </c>
      <c r="P8" s="32"/>
      <c r="Q8" s="32">
        <v>0</v>
      </c>
      <c r="R8" s="32"/>
      <c r="S8" s="32">
        <f>O8+Q8</f>
        <v>0</v>
      </c>
    </row>
    <row r="9" spans="1:19" ht="18.75" thickBot="1">
      <c r="A9" s="15" t="s">
        <v>85</v>
      </c>
      <c r="I9" s="33">
        <f>SUM(I8:I8)</f>
        <v>0</v>
      </c>
      <c r="J9" s="15" t="e">
        <f>SUM(#REF!)</f>
        <v>#REF!</v>
      </c>
      <c r="K9" s="33">
        <f>SUM(K8:K8)</f>
        <v>0</v>
      </c>
      <c r="L9" s="15" t="e">
        <f>SUM(#REF!)</f>
        <v>#REF!</v>
      </c>
      <c r="M9" s="33">
        <f>SUM(M8:M8)</f>
        <v>0</v>
      </c>
      <c r="N9" s="15" t="e">
        <f>SUM(#REF!)</f>
        <v>#REF!</v>
      </c>
      <c r="O9" s="33">
        <f>SUM(O8:O8)</f>
        <v>0</v>
      </c>
      <c r="P9" s="15"/>
      <c r="Q9" s="33">
        <f>SUM(Q8)</f>
        <v>0</v>
      </c>
      <c r="R9" s="15" t="e">
        <f>SUM(#REF!)</f>
        <v>#REF!</v>
      </c>
      <c r="S9" s="33">
        <f>SUM(S8:S8)</f>
        <v>0</v>
      </c>
    </row>
    <row r="10" spans="1:19" ht="18.75" thickTop="1">
      <c r="I10" s="16"/>
      <c r="K10" s="16"/>
      <c r="M10" s="16"/>
      <c r="O10" s="16"/>
      <c r="Q10" s="16"/>
      <c r="S10" s="16"/>
    </row>
    <row r="11" spans="1:19" ht="16.5" customHeight="1"/>
    <row r="12" spans="1:19" s="32" customFormat="1" ht="18"/>
    <row r="13" spans="1:19" s="32" customFormat="1" ht="18"/>
    <row r="14" spans="1:19" s="32" customFormat="1" ht="18"/>
    <row r="15" spans="1:19" s="32" customFormat="1" ht="18"/>
    <row r="16" spans="1:19" s="32" customFormat="1" ht="18"/>
    <row r="17" s="32" customFormat="1" ht="18"/>
    <row r="18" s="32" customFormat="1" ht="18"/>
    <row r="19" s="32" customFormat="1" ht="18"/>
    <row r="20" s="32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2D050"/>
  </sheetPr>
  <dimension ref="A1:Q118"/>
  <sheetViews>
    <sheetView rightToLeft="1" view="pageBreakPreview" topLeftCell="A100" zoomScale="80" zoomScaleNormal="100" zoomScaleSheetLayoutView="80" workbookViewId="0">
      <selection activeCell="I32" sqref="I32"/>
    </sheetView>
  </sheetViews>
  <sheetFormatPr defaultColWidth="9.140625" defaultRowHeight="30.75" customHeight="1"/>
  <cols>
    <col min="1" max="1" width="47" style="273" customWidth="1"/>
    <col min="2" max="2" width="0.85546875" style="159" customWidth="1"/>
    <col min="3" max="3" width="14" style="159" customWidth="1"/>
    <col min="4" max="4" width="2.7109375" style="159" customWidth="1"/>
    <col min="5" max="5" width="12.42578125" style="159" customWidth="1"/>
    <col min="6" max="6" width="1" style="159" customWidth="1"/>
    <col min="7" max="7" width="19.140625" style="78" customWidth="1"/>
    <col min="8" max="8" width="0.85546875" style="78" customWidth="1"/>
    <col min="9" max="9" width="17.42578125" style="78" customWidth="1"/>
    <col min="10" max="10" width="0.7109375" style="78" customWidth="1"/>
    <col min="11" max="11" width="23.140625" style="78" customWidth="1"/>
    <col min="12" max="12" width="0.7109375" style="78" customWidth="1"/>
    <col min="13" max="13" width="20" style="78" customWidth="1"/>
    <col min="14" max="14" width="0.5703125" style="78" customWidth="1"/>
    <col min="15" max="15" width="18.140625" style="78" bestFit="1" customWidth="1"/>
    <col min="16" max="16" width="0.5703125" style="78" customWidth="1"/>
    <col min="17" max="17" width="24.42578125" style="78" bestFit="1" customWidth="1"/>
    <col min="18" max="16384" width="9.140625" style="159"/>
  </cols>
  <sheetData>
    <row r="1" spans="1:17" ht="30.75" customHeight="1">
      <c r="A1" s="306" t="s">
        <v>89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</row>
    <row r="2" spans="1:17" ht="30.75" customHeight="1">
      <c r="A2" s="306" t="s">
        <v>56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</row>
    <row r="3" spans="1:17" ht="30.75" customHeight="1">
      <c r="A3" s="306" t="str">
        <f>' سهام'!A3:W3</f>
        <v>برای ماه منتهی به 1402/09/30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</row>
    <row r="4" spans="1:17" ht="30.75" customHeight="1">
      <c r="A4" s="313" t="s">
        <v>64</v>
      </c>
      <c r="B4" s="313"/>
      <c r="C4" s="313"/>
      <c r="D4" s="313"/>
      <c r="E4" s="313"/>
      <c r="F4" s="313"/>
      <c r="G4" s="313"/>
      <c r="H4" s="74"/>
      <c r="I4" s="75"/>
      <c r="J4" s="75"/>
      <c r="K4" s="75"/>
      <c r="L4" s="75"/>
      <c r="M4" s="75"/>
      <c r="N4" s="75"/>
      <c r="O4" s="72"/>
      <c r="P4" s="75"/>
      <c r="Q4" s="75"/>
    </row>
    <row r="5" spans="1:17" ht="30.75" customHeight="1" thickBot="1">
      <c r="A5" s="377"/>
      <c r="B5" s="340"/>
      <c r="C5" s="340"/>
      <c r="D5" s="340"/>
      <c r="E5" s="340"/>
      <c r="F5" s="204"/>
      <c r="G5" s="341" t="s">
        <v>326</v>
      </c>
      <c r="H5" s="341"/>
      <c r="I5" s="341"/>
      <c r="J5" s="341"/>
      <c r="K5" s="341"/>
      <c r="L5" s="75"/>
      <c r="M5" s="341" t="s">
        <v>327</v>
      </c>
      <c r="N5" s="341"/>
      <c r="O5" s="341"/>
      <c r="P5" s="341"/>
      <c r="Q5" s="341"/>
    </row>
    <row r="6" spans="1:17" ht="42" customHeight="1" thickBot="1">
      <c r="A6" s="378" t="s">
        <v>38</v>
      </c>
      <c r="B6" s="205"/>
      <c r="C6" s="206" t="s">
        <v>23</v>
      </c>
      <c r="D6" s="205"/>
      <c r="E6" s="206" t="s">
        <v>35</v>
      </c>
      <c r="F6" s="205"/>
      <c r="G6" s="76" t="s">
        <v>57</v>
      </c>
      <c r="H6" s="77"/>
      <c r="I6" s="76" t="s">
        <v>40</v>
      </c>
      <c r="J6" s="77"/>
      <c r="K6" s="76" t="s">
        <v>41</v>
      </c>
      <c r="L6" s="75"/>
      <c r="M6" s="76" t="s">
        <v>57</v>
      </c>
      <c r="N6" s="77"/>
      <c r="O6" s="76" t="s">
        <v>40</v>
      </c>
      <c r="P6" s="77"/>
      <c r="Q6" s="76" t="s">
        <v>41</v>
      </c>
    </row>
    <row r="7" spans="1:17" ht="30" customHeight="1" thickBot="1">
      <c r="A7" s="263" t="s">
        <v>287</v>
      </c>
      <c r="B7" s="209"/>
      <c r="C7" s="208" t="s">
        <v>91</v>
      </c>
      <c r="D7" s="118"/>
      <c r="E7" s="98">
        <v>0.22500000000000001</v>
      </c>
      <c r="F7" s="118"/>
      <c r="G7" s="255">
        <v>173040411.2264151</v>
      </c>
      <c r="H7" s="72"/>
      <c r="I7" s="72">
        <v>0</v>
      </c>
      <c r="J7" s="72"/>
      <c r="K7" s="72">
        <f t="shared" ref="K7:K37" si="0">G7+I7</f>
        <v>173040411.2264151</v>
      </c>
      <c r="L7" s="72"/>
      <c r="M7" s="72">
        <v>380688902.83018863</v>
      </c>
      <c r="N7" s="72"/>
      <c r="O7" s="72">
        <v>-669467</v>
      </c>
      <c r="P7" s="72"/>
      <c r="Q7" s="72">
        <f t="shared" ref="Q7:Q37" si="1">M7+O7</f>
        <v>380019435.83018863</v>
      </c>
    </row>
    <row r="8" spans="1:17" ht="30" customHeight="1">
      <c r="A8" s="263" t="s">
        <v>222</v>
      </c>
      <c r="B8" s="209"/>
      <c r="C8" s="208" t="s">
        <v>91</v>
      </c>
      <c r="D8" s="118"/>
      <c r="E8" s="98">
        <v>0.22500000000000001</v>
      </c>
      <c r="F8" s="118"/>
      <c r="G8" s="72">
        <v>0</v>
      </c>
      <c r="H8" s="72"/>
      <c r="I8" s="72">
        <v>0</v>
      </c>
      <c r="J8" s="72"/>
      <c r="K8" s="72">
        <f t="shared" si="0"/>
        <v>0</v>
      </c>
      <c r="L8" s="72"/>
      <c r="M8" s="72">
        <v>4228956.1956521738</v>
      </c>
      <c r="N8" s="72"/>
      <c r="O8" s="72">
        <v>0</v>
      </c>
      <c r="P8" s="72"/>
      <c r="Q8" s="72">
        <f t="shared" si="1"/>
        <v>4228956.1956521738</v>
      </c>
    </row>
    <row r="9" spans="1:17" ht="30" customHeight="1">
      <c r="A9" s="263" t="s">
        <v>225</v>
      </c>
      <c r="B9" s="209"/>
      <c r="C9" s="208" t="s">
        <v>91</v>
      </c>
      <c r="D9" s="118"/>
      <c r="E9" s="98">
        <v>0.22500000000000001</v>
      </c>
      <c r="F9" s="118"/>
      <c r="G9" s="82">
        <v>0</v>
      </c>
      <c r="H9" s="72"/>
      <c r="I9" s="72">
        <v>0</v>
      </c>
      <c r="J9" s="72"/>
      <c r="K9" s="72">
        <f t="shared" si="0"/>
        <v>0</v>
      </c>
      <c r="L9" s="72"/>
      <c r="M9" s="207">
        <v>3840706.9565217388</v>
      </c>
      <c r="N9" s="72"/>
      <c r="O9" s="72">
        <v>0</v>
      </c>
      <c r="P9" s="72"/>
      <c r="Q9" s="72">
        <f t="shared" si="1"/>
        <v>3840706.9565217388</v>
      </c>
    </row>
    <row r="10" spans="1:17" ht="30" customHeight="1">
      <c r="A10" s="263" t="s">
        <v>223</v>
      </c>
      <c r="B10" s="209"/>
      <c r="C10" s="208" t="s">
        <v>91</v>
      </c>
      <c r="D10" s="118"/>
      <c r="E10" s="98">
        <v>0.22500000000000001</v>
      </c>
      <c r="F10" s="118"/>
      <c r="G10" s="72">
        <v>0</v>
      </c>
      <c r="H10" s="72"/>
      <c r="I10" s="72">
        <v>0</v>
      </c>
      <c r="J10" s="72"/>
      <c r="K10" s="72">
        <f t="shared" si="0"/>
        <v>0</v>
      </c>
      <c r="L10" s="72"/>
      <c r="M10" s="72">
        <v>1378686.5217391304</v>
      </c>
      <c r="N10" s="72"/>
      <c r="O10" s="72">
        <v>0</v>
      </c>
      <c r="P10" s="72"/>
      <c r="Q10" s="72">
        <f t="shared" si="1"/>
        <v>1378686.5217391304</v>
      </c>
    </row>
    <row r="11" spans="1:17" ht="30" customHeight="1">
      <c r="A11" s="263" t="s">
        <v>127</v>
      </c>
      <c r="B11" s="209"/>
      <c r="C11" s="208" t="s">
        <v>91</v>
      </c>
      <c r="D11" s="118"/>
      <c r="E11" s="98">
        <v>0.22500000000000001</v>
      </c>
      <c r="F11" s="118"/>
      <c r="G11" s="72">
        <v>0</v>
      </c>
      <c r="H11" s="72"/>
      <c r="I11" s="72">
        <v>0</v>
      </c>
      <c r="J11" s="72"/>
      <c r="K11" s="72">
        <f t="shared" si="0"/>
        <v>0</v>
      </c>
      <c r="L11" s="72"/>
      <c r="M11" s="72">
        <v>171151516.91489363</v>
      </c>
      <c r="N11" s="72"/>
      <c r="O11" s="72">
        <v>0</v>
      </c>
      <c r="P11" s="72"/>
      <c r="Q11" s="72">
        <f t="shared" si="1"/>
        <v>171151516.91489363</v>
      </c>
    </row>
    <row r="12" spans="1:17" ht="30" customHeight="1">
      <c r="A12" s="263" t="s">
        <v>224</v>
      </c>
      <c r="B12" s="209"/>
      <c r="C12" s="208" t="s">
        <v>91</v>
      </c>
      <c r="D12" s="118"/>
      <c r="E12" s="98">
        <v>0.22500000000000001</v>
      </c>
      <c r="F12" s="118"/>
      <c r="G12" s="72">
        <v>0</v>
      </c>
      <c r="H12" s="72"/>
      <c r="I12" s="72">
        <v>0</v>
      </c>
      <c r="J12" s="72"/>
      <c r="K12" s="72">
        <f t="shared" si="0"/>
        <v>0</v>
      </c>
      <c r="L12" s="72"/>
      <c r="M12" s="72">
        <v>1153326.0638297873</v>
      </c>
      <c r="N12" s="72"/>
      <c r="O12" s="72">
        <v>0</v>
      </c>
      <c r="P12" s="72"/>
      <c r="Q12" s="72">
        <f t="shared" si="1"/>
        <v>1153326.0638297873</v>
      </c>
    </row>
    <row r="13" spans="1:17" ht="30" customHeight="1">
      <c r="A13" s="263" t="s">
        <v>239</v>
      </c>
      <c r="B13" s="209"/>
      <c r="C13" s="208" t="s">
        <v>91</v>
      </c>
      <c r="D13" s="118"/>
      <c r="E13" s="98">
        <v>0.22500000000000001</v>
      </c>
      <c r="F13" s="118"/>
      <c r="G13" s="82">
        <v>0</v>
      </c>
      <c r="H13" s="72"/>
      <c r="I13" s="72">
        <v>0</v>
      </c>
      <c r="J13" s="72"/>
      <c r="K13" s="72">
        <f t="shared" si="0"/>
        <v>0</v>
      </c>
      <c r="L13" s="72"/>
      <c r="M13" s="72">
        <v>12327892662.115385</v>
      </c>
      <c r="N13" s="72"/>
      <c r="O13" s="72">
        <v>0</v>
      </c>
      <c r="P13" s="72"/>
      <c r="Q13" s="72">
        <f t="shared" si="1"/>
        <v>12327892662.115385</v>
      </c>
    </row>
    <row r="14" spans="1:17" s="118" customFormat="1" ht="30.75" customHeight="1">
      <c r="A14" s="263" t="s">
        <v>130</v>
      </c>
      <c r="B14" s="209"/>
      <c r="C14" s="208" t="s">
        <v>91</v>
      </c>
      <c r="E14" s="98">
        <v>0.22500000000000001</v>
      </c>
      <c r="G14" s="82">
        <v>0</v>
      </c>
      <c r="H14" s="72"/>
      <c r="I14" s="72">
        <v>0</v>
      </c>
      <c r="J14" s="72"/>
      <c r="K14" s="72">
        <f t="shared" si="0"/>
        <v>0</v>
      </c>
      <c r="L14" s="72"/>
      <c r="M14" s="207">
        <v>632821551.84782612</v>
      </c>
      <c r="N14" s="72"/>
      <c r="O14" s="72"/>
      <c r="P14" s="72"/>
      <c r="Q14" s="72">
        <f t="shared" si="1"/>
        <v>632821551.84782612</v>
      </c>
    </row>
    <row r="15" spans="1:17" s="118" customFormat="1" ht="30.75" customHeight="1">
      <c r="A15" s="263" t="s">
        <v>136</v>
      </c>
      <c r="B15" s="209"/>
      <c r="C15" s="208" t="s">
        <v>91</v>
      </c>
      <c r="E15" s="98">
        <v>0.22500000000000001</v>
      </c>
      <c r="G15" s="82">
        <v>0</v>
      </c>
      <c r="H15" s="72"/>
      <c r="I15" s="72">
        <v>0</v>
      </c>
      <c r="J15" s="72"/>
      <c r="K15" s="72">
        <f t="shared" si="0"/>
        <v>0</v>
      </c>
      <c r="L15" s="72"/>
      <c r="M15" s="207">
        <v>306789858.75000006</v>
      </c>
      <c r="N15" s="72"/>
      <c r="O15" s="72"/>
      <c r="P15" s="72"/>
      <c r="Q15" s="72">
        <f t="shared" si="1"/>
        <v>306789858.75000006</v>
      </c>
    </row>
    <row r="16" spans="1:17" s="118" customFormat="1" ht="30.75" customHeight="1">
      <c r="A16" s="263" t="s">
        <v>129</v>
      </c>
      <c r="B16" s="209"/>
      <c r="C16" s="208" t="s">
        <v>91</v>
      </c>
      <c r="E16" s="98">
        <v>0.22500000000000001</v>
      </c>
      <c r="G16" s="82">
        <v>0</v>
      </c>
      <c r="H16" s="72"/>
      <c r="I16" s="72">
        <v>0</v>
      </c>
      <c r="J16" s="72"/>
      <c r="K16" s="72">
        <f t="shared" si="0"/>
        <v>0</v>
      </c>
      <c r="L16" s="72"/>
      <c r="M16" s="72">
        <v>596096702.60869563</v>
      </c>
      <c r="N16" s="72"/>
      <c r="O16" s="72"/>
      <c r="P16" s="72"/>
      <c r="Q16" s="72">
        <f t="shared" si="1"/>
        <v>596096702.60869563</v>
      </c>
    </row>
    <row r="17" spans="1:17" s="118" customFormat="1" ht="30.75" customHeight="1">
      <c r="A17" s="263" t="s">
        <v>134</v>
      </c>
      <c r="B17" s="209"/>
      <c r="C17" s="208" t="s">
        <v>91</v>
      </c>
      <c r="E17" s="98">
        <v>0.22500000000000001</v>
      </c>
      <c r="G17" s="82">
        <v>0</v>
      </c>
      <c r="H17" s="72"/>
      <c r="I17" s="72">
        <v>0</v>
      </c>
      <c r="J17" s="72"/>
      <c r="K17" s="72">
        <f t="shared" si="0"/>
        <v>0</v>
      </c>
      <c r="L17" s="72"/>
      <c r="M17" s="72">
        <v>551472914.6808511</v>
      </c>
      <c r="N17" s="72"/>
      <c r="O17" s="72"/>
      <c r="P17" s="72"/>
      <c r="Q17" s="72">
        <f t="shared" si="1"/>
        <v>551472914.6808511</v>
      </c>
    </row>
    <row r="18" spans="1:17" s="118" customFormat="1" ht="30.75" customHeight="1">
      <c r="A18" s="263" t="s">
        <v>133</v>
      </c>
      <c r="B18" s="209"/>
      <c r="C18" s="208" t="s">
        <v>91</v>
      </c>
      <c r="E18" s="98">
        <v>0.22500000000000001</v>
      </c>
      <c r="G18" s="82">
        <v>0</v>
      </c>
      <c r="H18" s="72"/>
      <c r="I18" s="72">
        <v>0</v>
      </c>
      <c r="J18" s="72"/>
      <c r="K18" s="72">
        <f t="shared" si="0"/>
        <v>0</v>
      </c>
      <c r="L18" s="72"/>
      <c r="M18" s="72">
        <v>173300430.63829789</v>
      </c>
      <c r="N18" s="72"/>
      <c r="O18" s="72"/>
      <c r="P18" s="72"/>
      <c r="Q18" s="72">
        <f t="shared" si="1"/>
        <v>173300430.63829789</v>
      </c>
    </row>
    <row r="19" spans="1:17" s="118" customFormat="1" ht="30.75" customHeight="1">
      <c r="A19" s="263" t="s">
        <v>131</v>
      </c>
      <c r="B19" s="209"/>
      <c r="C19" s="208" t="s">
        <v>91</v>
      </c>
      <c r="E19" s="98">
        <v>0.22500000000000001</v>
      </c>
      <c r="G19" s="82">
        <v>0</v>
      </c>
      <c r="H19" s="72"/>
      <c r="I19" s="72">
        <v>0</v>
      </c>
      <c r="J19" s="72"/>
      <c r="K19" s="72">
        <f t="shared" si="0"/>
        <v>0</v>
      </c>
      <c r="L19" s="72"/>
      <c r="M19" s="72">
        <v>1767443800.2127662</v>
      </c>
      <c r="N19" s="72"/>
      <c r="O19" s="72"/>
      <c r="P19" s="72"/>
      <c r="Q19" s="72">
        <f t="shared" si="1"/>
        <v>1767443800.2127662</v>
      </c>
    </row>
    <row r="20" spans="1:17" s="118" customFormat="1" ht="30.75" customHeight="1">
      <c r="A20" s="263" t="s">
        <v>128</v>
      </c>
      <c r="B20" s="209"/>
      <c r="C20" s="208" t="s">
        <v>91</v>
      </c>
      <c r="E20" s="98">
        <v>0.22500000000000001</v>
      </c>
      <c r="G20" s="72">
        <v>0</v>
      </c>
      <c r="H20" s="72"/>
      <c r="I20" s="72">
        <v>0</v>
      </c>
      <c r="J20" s="72"/>
      <c r="K20" s="72">
        <f t="shared" si="0"/>
        <v>0</v>
      </c>
      <c r="L20" s="72"/>
      <c r="M20" s="72">
        <v>149009273.61702129</v>
      </c>
      <c r="N20" s="72"/>
      <c r="O20" s="72"/>
      <c r="P20" s="72"/>
      <c r="Q20" s="72">
        <f t="shared" si="1"/>
        <v>149009273.61702129</v>
      </c>
    </row>
    <row r="21" spans="1:17" s="118" customFormat="1" ht="30.75" customHeight="1">
      <c r="A21" s="263" t="s">
        <v>135</v>
      </c>
      <c r="B21" s="209"/>
      <c r="C21" s="208" t="s">
        <v>91</v>
      </c>
      <c r="E21" s="98">
        <v>0.22500000000000001</v>
      </c>
      <c r="G21" s="72">
        <v>0</v>
      </c>
      <c r="H21" s="72"/>
      <c r="I21" s="72">
        <v>0</v>
      </c>
      <c r="J21" s="72"/>
      <c r="K21" s="72">
        <f t="shared" si="0"/>
        <v>0</v>
      </c>
      <c r="L21" s="72"/>
      <c r="M21" s="72">
        <v>282371915.625</v>
      </c>
      <c r="N21" s="72"/>
      <c r="O21" s="72"/>
      <c r="P21" s="72"/>
      <c r="Q21" s="72">
        <f t="shared" si="1"/>
        <v>282371915.625</v>
      </c>
    </row>
    <row r="22" spans="1:17" s="118" customFormat="1" ht="30.75" customHeight="1">
      <c r="A22" s="263" t="s">
        <v>132</v>
      </c>
      <c r="B22" s="209"/>
      <c r="C22" s="208" t="s">
        <v>91</v>
      </c>
      <c r="E22" s="93">
        <v>0.22500000000000001</v>
      </c>
      <c r="G22" s="72">
        <v>0</v>
      </c>
      <c r="H22" s="72"/>
      <c r="I22" s="72">
        <v>0</v>
      </c>
      <c r="J22" s="72"/>
      <c r="K22" s="72">
        <f t="shared" si="0"/>
        <v>0</v>
      </c>
      <c r="L22" s="72"/>
      <c r="M22" s="72">
        <v>402350847.12765962</v>
      </c>
      <c r="N22" s="72"/>
      <c r="O22" s="72"/>
      <c r="P22" s="72"/>
      <c r="Q22" s="72">
        <f t="shared" si="1"/>
        <v>402350847.12765962</v>
      </c>
    </row>
    <row r="23" spans="1:17" s="118" customFormat="1" ht="30.75" customHeight="1">
      <c r="A23" s="263" t="s">
        <v>111</v>
      </c>
      <c r="B23" s="209"/>
      <c r="C23" s="208" t="s">
        <v>91</v>
      </c>
      <c r="E23" s="98">
        <v>0.22500000000000001</v>
      </c>
      <c r="G23" s="72">
        <v>0</v>
      </c>
      <c r="H23" s="72"/>
      <c r="I23" s="72">
        <v>0</v>
      </c>
      <c r="J23" s="72"/>
      <c r="K23" s="72">
        <f t="shared" si="0"/>
        <v>0</v>
      </c>
      <c r="L23" s="72"/>
      <c r="M23" s="72">
        <v>664010914.78723407</v>
      </c>
      <c r="N23" s="72"/>
      <c r="O23" s="72"/>
      <c r="P23" s="72"/>
      <c r="Q23" s="72">
        <f t="shared" si="1"/>
        <v>664010914.78723407</v>
      </c>
    </row>
    <row r="24" spans="1:17" s="118" customFormat="1" ht="30.75" customHeight="1">
      <c r="A24" s="263" t="s">
        <v>341</v>
      </c>
      <c r="B24" s="209"/>
      <c r="C24" s="208" t="s">
        <v>91</v>
      </c>
      <c r="E24" s="98">
        <v>0.22500000000000001</v>
      </c>
      <c r="G24" s="82">
        <v>3403301909.4339619</v>
      </c>
      <c r="H24" s="72"/>
      <c r="I24" s="72">
        <v>-14498169</v>
      </c>
      <c r="J24" s="72"/>
      <c r="K24" s="72">
        <f t="shared" si="0"/>
        <v>3388803740.4339619</v>
      </c>
      <c r="L24" s="72"/>
      <c r="M24" s="72">
        <v>3403301909.4339619</v>
      </c>
      <c r="N24" s="72"/>
      <c r="O24" s="72">
        <v>-14498169</v>
      </c>
      <c r="P24" s="72"/>
      <c r="Q24" s="72">
        <f t="shared" si="1"/>
        <v>3388803740.4339619</v>
      </c>
    </row>
    <row r="25" spans="1:17" s="118" customFormat="1" ht="30.75" customHeight="1">
      <c r="A25" s="263" t="s">
        <v>311</v>
      </c>
      <c r="B25" s="209"/>
      <c r="C25" s="208" t="s">
        <v>91</v>
      </c>
      <c r="E25" s="98">
        <v>0.22500000000000001</v>
      </c>
      <c r="G25" s="262">
        <v>348062054.43396223</v>
      </c>
      <c r="H25" s="72"/>
      <c r="I25" s="72">
        <v>-9594</v>
      </c>
      <c r="J25" s="72"/>
      <c r="K25" s="72">
        <f t="shared" si="0"/>
        <v>348052460.43396223</v>
      </c>
      <c r="L25" s="72"/>
      <c r="M25" s="72">
        <v>662440684.24528301</v>
      </c>
      <c r="N25" s="72"/>
      <c r="O25" s="72">
        <v>-278224</v>
      </c>
      <c r="P25" s="72"/>
      <c r="Q25" s="72">
        <f t="shared" si="1"/>
        <v>662162460.24528301</v>
      </c>
    </row>
    <row r="26" spans="1:17" s="118" customFormat="1" ht="30.75" customHeight="1">
      <c r="A26" s="263" t="s">
        <v>250</v>
      </c>
      <c r="B26" s="209"/>
      <c r="C26" s="208" t="s">
        <v>91</v>
      </c>
      <c r="E26" s="98">
        <v>0.22500000000000001</v>
      </c>
      <c r="G26" s="82">
        <v>38761646.603773579</v>
      </c>
      <c r="H26" s="72"/>
      <c r="I26" s="72">
        <v>0</v>
      </c>
      <c r="J26" s="72"/>
      <c r="K26" s="72">
        <f t="shared" si="0"/>
        <v>38761646.603773579</v>
      </c>
      <c r="L26" s="72"/>
      <c r="M26" s="72">
        <v>2957345751.2264152</v>
      </c>
      <c r="N26" s="72"/>
      <c r="O26" s="72">
        <v>-205678</v>
      </c>
      <c r="P26" s="72"/>
      <c r="Q26" s="72">
        <f t="shared" si="1"/>
        <v>2957140073.2264152</v>
      </c>
    </row>
    <row r="27" spans="1:17" s="118" customFormat="1" ht="30.75" customHeight="1">
      <c r="A27" s="263" t="s">
        <v>291</v>
      </c>
      <c r="B27" s="209"/>
      <c r="C27" s="208" t="s">
        <v>91</v>
      </c>
      <c r="E27" s="98">
        <v>0.22500000000000001</v>
      </c>
      <c r="G27" s="72">
        <v>0</v>
      </c>
      <c r="H27" s="72"/>
      <c r="I27" s="72">
        <v>0</v>
      </c>
      <c r="J27" s="72"/>
      <c r="K27" s="72">
        <f t="shared" si="0"/>
        <v>0</v>
      </c>
      <c r="L27" s="72"/>
      <c r="M27" s="72">
        <v>2037945205.1886792</v>
      </c>
      <c r="N27" s="72"/>
      <c r="O27" s="72">
        <v>0</v>
      </c>
      <c r="P27" s="72"/>
      <c r="Q27" s="72">
        <f t="shared" si="1"/>
        <v>2037945205.1886792</v>
      </c>
    </row>
    <row r="28" spans="1:17" s="118" customFormat="1" ht="30.75" customHeight="1">
      <c r="A28" s="263" t="s">
        <v>253</v>
      </c>
      <c r="B28" s="209"/>
      <c r="C28" s="208" t="s">
        <v>91</v>
      </c>
      <c r="E28" s="98">
        <v>0.22500000000000001</v>
      </c>
      <c r="G28" s="72">
        <v>0</v>
      </c>
      <c r="H28" s="72"/>
      <c r="I28" s="72">
        <v>0</v>
      </c>
      <c r="J28" s="72"/>
      <c r="K28" s="72">
        <f t="shared" si="0"/>
        <v>0</v>
      </c>
      <c r="L28" s="72"/>
      <c r="M28" s="72">
        <v>3302586652.5</v>
      </c>
      <c r="N28" s="72"/>
      <c r="O28" s="72">
        <v>0</v>
      </c>
      <c r="P28" s="72"/>
      <c r="Q28" s="72">
        <f t="shared" si="1"/>
        <v>3302586652.5</v>
      </c>
    </row>
    <row r="29" spans="1:17" s="118" customFormat="1" ht="30.75" customHeight="1">
      <c r="A29" s="263" t="s">
        <v>208</v>
      </c>
      <c r="B29" s="209"/>
      <c r="C29" s="208" t="s">
        <v>91</v>
      </c>
      <c r="E29" s="98">
        <v>0.22500000000000001</v>
      </c>
      <c r="G29" s="72">
        <v>0</v>
      </c>
      <c r="H29" s="72"/>
      <c r="I29" s="72">
        <v>0</v>
      </c>
      <c r="J29" s="72"/>
      <c r="K29" s="72">
        <f t="shared" si="0"/>
        <v>0</v>
      </c>
      <c r="L29" s="72"/>
      <c r="M29" s="72">
        <v>5418077054.7115393</v>
      </c>
      <c r="N29" s="72"/>
      <c r="O29" s="72">
        <v>0</v>
      </c>
      <c r="P29" s="72"/>
      <c r="Q29" s="72">
        <f t="shared" si="1"/>
        <v>5418077054.7115393</v>
      </c>
    </row>
    <row r="30" spans="1:17" s="118" customFormat="1" ht="30.75" customHeight="1">
      <c r="A30" s="263" t="s">
        <v>245</v>
      </c>
      <c r="B30" s="209"/>
      <c r="C30" s="208" t="s">
        <v>91</v>
      </c>
      <c r="E30" s="98">
        <v>0.22500000000000001</v>
      </c>
      <c r="G30" s="82">
        <v>0</v>
      </c>
      <c r="H30" s="72"/>
      <c r="I30" s="72">
        <v>0</v>
      </c>
      <c r="J30" s="72"/>
      <c r="K30" s="72">
        <f t="shared" si="0"/>
        <v>0</v>
      </c>
      <c r="L30" s="72"/>
      <c r="M30" s="72">
        <v>901685342.59615386</v>
      </c>
      <c r="N30" s="72"/>
      <c r="O30" s="72">
        <v>0</v>
      </c>
      <c r="P30" s="72"/>
      <c r="Q30" s="72">
        <f t="shared" si="1"/>
        <v>901685342.59615386</v>
      </c>
    </row>
    <row r="31" spans="1:17" s="118" customFormat="1" ht="30.75" customHeight="1">
      <c r="A31" s="263" t="s">
        <v>209</v>
      </c>
      <c r="B31" s="209"/>
      <c r="C31" s="208" t="s">
        <v>91</v>
      </c>
      <c r="E31" s="98">
        <v>0.22500000000000001</v>
      </c>
      <c r="G31" s="72">
        <v>0</v>
      </c>
      <c r="H31" s="72"/>
      <c r="I31" s="72">
        <v>0</v>
      </c>
      <c r="J31" s="72"/>
      <c r="K31" s="72">
        <f t="shared" si="0"/>
        <v>0</v>
      </c>
      <c r="L31" s="72"/>
      <c r="M31" s="72">
        <v>2388390409.9038463</v>
      </c>
      <c r="N31" s="72"/>
      <c r="O31" s="210">
        <v>0</v>
      </c>
      <c r="P31" s="72"/>
      <c r="Q31" s="72">
        <f t="shared" si="1"/>
        <v>2388390409.9038463</v>
      </c>
    </row>
    <row r="32" spans="1:17" s="118" customFormat="1" ht="30.75" customHeight="1">
      <c r="A32" s="263" t="s">
        <v>243</v>
      </c>
      <c r="B32" s="209"/>
      <c r="C32" s="208" t="s">
        <v>91</v>
      </c>
      <c r="E32" s="98">
        <v>0.22500000000000001</v>
      </c>
      <c r="G32" s="72">
        <v>0</v>
      </c>
      <c r="H32" s="72"/>
      <c r="I32" s="72">
        <v>0</v>
      </c>
      <c r="J32" s="72"/>
      <c r="K32" s="72">
        <f t="shared" si="0"/>
        <v>0</v>
      </c>
      <c r="L32" s="72"/>
      <c r="M32" s="207">
        <v>6428819.3478260869</v>
      </c>
      <c r="N32" s="72"/>
      <c r="O32" s="72">
        <v>0</v>
      </c>
      <c r="P32" s="72"/>
      <c r="Q32" s="72">
        <f t="shared" si="1"/>
        <v>6428819.3478260869</v>
      </c>
    </row>
    <row r="33" spans="1:17" s="118" customFormat="1" ht="30.75" customHeight="1">
      <c r="A33" s="263" t="s">
        <v>174</v>
      </c>
      <c r="B33" s="209"/>
      <c r="C33" s="208" t="s">
        <v>91</v>
      </c>
      <c r="E33" s="98">
        <v>0.22500000000000001</v>
      </c>
      <c r="G33" s="82">
        <v>0</v>
      </c>
      <c r="H33" s="72"/>
      <c r="I33" s="72">
        <v>0</v>
      </c>
      <c r="J33" s="72"/>
      <c r="K33" s="72">
        <f t="shared" si="0"/>
        <v>0</v>
      </c>
      <c r="L33" s="72"/>
      <c r="M33" s="207">
        <v>671999177.59615386</v>
      </c>
      <c r="N33" s="72"/>
      <c r="O33" s="72">
        <v>0</v>
      </c>
      <c r="P33" s="72"/>
      <c r="Q33" s="72">
        <f t="shared" si="1"/>
        <v>671999177.59615386</v>
      </c>
    </row>
    <row r="34" spans="1:17" s="118" customFormat="1" ht="30.75" customHeight="1">
      <c r="A34" s="263" t="s">
        <v>241</v>
      </c>
      <c r="B34" s="209"/>
      <c r="C34" s="208" t="s">
        <v>91</v>
      </c>
      <c r="E34" s="98">
        <v>0.22500000000000001</v>
      </c>
      <c r="G34" s="72">
        <v>0</v>
      </c>
      <c r="H34" s="72"/>
      <c r="I34" s="72">
        <v>0</v>
      </c>
      <c r="J34" s="72"/>
      <c r="K34" s="72">
        <f t="shared" si="0"/>
        <v>0</v>
      </c>
      <c r="L34" s="72"/>
      <c r="M34" s="72">
        <v>42272866.956521742</v>
      </c>
      <c r="N34" s="72"/>
      <c r="O34" s="72">
        <v>0</v>
      </c>
      <c r="P34" s="72"/>
      <c r="Q34" s="72">
        <f t="shared" si="1"/>
        <v>42272866.956521742</v>
      </c>
    </row>
    <row r="35" spans="1:17" s="118" customFormat="1" ht="30.75" customHeight="1">
      <c r="A35" s="263" t="s">
        <v>240</v>
      </c>
      <c r="B35" s="209"/>
      <c r="C35" s="208" t="s">
        <v>91</v>
      </c>
      <c r="E35" s="98">
        <v>0.22500000000000001</v>
      </c>
      <c r="G35" s="82">
        <v>0</v>
      </c>
      <c r="H35" s="72"/>
      <c r="I35" s="72">
        <v>0</v>
      </c>
      <c r="J35" s="72"/>
      <c r="K35" s="72">
        <f t="shared" si="0"/>
        <v>0</v>
      </c>
      <c r="L35" s="72"/>
      <c r="M35" s="72">
        <v>739726027.78846145</v>
      </c>
      <c r="N35" s="72"/>
      <c r="O35" s="72">
        <v>0</v>
      </c>
      <c r="P35" s="72"/>
      <c r="Q35" s="72">
        <f t="shared" si="1"/>
        <v>739726027.78846145</v>
      </c>
    </row>
    <row r="36" spans="1:17" s="118" customFormat="1" ht="30.75" customHeight="1">
      <c r="A36" s="263" t="s">
        <v>194</v>
      </c>
      <c r="B36" s="209"/>
      <c r="C36" s="208" t="s">
        <v>91</v>
      </c>
      <c r="E36" s="98">
        <v>0.22500000000000001</v>
      </c>
      <c r="G36" s="82">
        <v>0</v>
      </c>
      <c r="H36" s="72"/>
      <c r="I36" s="72">
        <v>0</v>
      </c>
      <c r="J36" s="72"/>
      <c r="K36" s="72">
        <f t="shared" si="0"/>
        <v>0</v>
      </c>
      <c r="L36" s="72"/>
      <c r="M36" s="72">
        <v>827146849.32692313</v>
      </c>
      <c r="N36" s="72"/>
      <c r="O36" s="72">
        <v>0</v>
      </c>
      <c r="P36" s="72"/>
      <c r="Q36" s="72">
        <f t="shared" si="1"/>
        <v>827146849.32692313</v>
      </c>
    </row>
    <row r="37" spans="1:17" s="118" customFormat="1" ht="30.75" customHeight="1">
      <c r="A37" s="263" t="s">
        <v>178</v>
      </c>
      <c r="B37" s="209"/>
      <c r="C37" s="208" t="s">
        <v>91</v>
      </c>
      <c r="E37" s="98">
        <v>0.22500000000000001</v>
      </c>
      <c r="G37" s="82">
        <v>0</v>
      </c>
      <c r="H37" s="72"/>
      <c r="I37" s="72">
        <v>0</v>
      </c>
      <c r="J37" s="72"/>
      <c r="K37" s="72">
        <f t="shared" si="0"/>
        <v>0</v>
      </c>
      <c r="L37" s="72"/>
      <c r="M37" s="72">
        <v>302054794.61538464</v>
      </c>
      <c r="N37" s="72"/>
      <c r="O37" s="72">
        <v>0</v>
      </c>
      <c r="P37" s="72"/>
      <c r="Q37" s="72">
        <f t="shared" si="1"/>
        <v>302054794.61538464</v>
      </c>
    </row>
    <row r="38" spans="1:17" s="118" customFormat="1" ht="30.75" customHeight="1">
      <c r="A38" s="263" t="s">
        <v>210</v>
      </c>
      <c r="B38" s="209"/>
      <c r="C38" s="208" t="s">
        <v>91</v>
      </c>
      <c r="E38" s="98">
        <v>0.22500000000000001</v>
      </c>
      <c r="G38" s="82">
        <v>0</v>
      </c>
      <c r="H38" s="72"/>
      <c r="I38" s="72">
        <v>0</v>
      </c>
      <c r="J38" s="72"/>
      <c r="K38" s="72">
        <f t="shared" ref="K38:K70" si="2">G38+I38</f>
        <v>0</v>
      </c>
      <c r="L38" s="72"/>
      <c r="M38" s="72">
        <v>367056986.53846151</v>
      </c>
      <c r="N38" s="72"/>
      <c r="O38" s="72">
        <v>0</v>
      </c>
      <c r="P38" s="72"/>
      <c r="Q38" s="72">
        <f t="shared" ref="Q38:Q70" si="3">M38+O38</f>
        <v>367056986.53846151</v>
      </c>
    </row>
    <row r="39" spans="1:17" s="118" customFormat="1" ht="30.75" customHeight="1">
      <c r="A39" s="263" t="s">
        <v>238</v>
      </c>
      <c r="B39" s="209"/>
      <c r="C39" s="208" t="s">
        <v>91</v>
      </c>
      <c r="E39" s="98">
        <v>0.22500000000000001</v>
      </c>
      <c r="G39" s="82">
        <v>0</v>
      </c>
      <c r="H39" s="72"/>
      <c r="I39" s="72">
        <v>0</v>
      </c>
      <c r="J39" s="72"/>
      <c r="K39" s="72">
        <f t="shared" si="2"/>
        <v>0</v>
      </c>
      <c r="L39" s="72"/>
      <c r="M39" s="72">
        <v>59635978.043478265</v>
      </c>
      <c r="N39" s="72"/>
      <c r="O39" s="72">
        <v>0</v>
      </c>
      <c r="P39" s="72"/>
      <c r="Q39" s="72">
        <f t="shared" si="3"/>
        <v>59635978.043478265</v>
      </c>
    </row>
    <row r="40" spans="1:17" s="118" customFormat="1" ht="30.75" customHeight="1">
      <c r="A40" s="263" t="s">
        <v>193</v>
      </c>
      <c r="B40" s="209"/>
      <c r="C40" s="208" t="s">
        <v>91</v>
      </c>
      <c r="E40" s="98">
        <v>0.22500000000000001</v>
      </c>
      <c r="G40" s="82">
        <v>0</v>
      </c>
      <c r="H40" s="72"/>
      <c r="I40" s="72">
        <v>0</v>
      </c>
      <c r="J40" s="72"/>
      <c r="K40" s="72">
        <f t="shared" si="2"/>
        <v>0</v>
      </c>
      <c r="L40" s="72"/>
      <c r="M40" s="72">
        <v>2348124657.4038463</v>
      </c>
      <c r="N40" s="72"/>
      <c r="O40" s="72">
        <v>0</v>
      </c>
      <c r="P40" s="72"/>
      <c r="Q40" s="72">
        <f t="shared" si="3"/>
        <v>2348124657.4038463</v>
      </c>
    </row>
    <row r="41" spans="1:17" s="118" customFormat="1" ht="30.75" customHeight="1">
      <c r="A41" s="263" t="s">
        <v>237</v>
      </c>
      <c r="B41" s="209"/>
      <c r="C41" s="208" t="s">
        <v>91</v>
      </c>
      <c r="E41" s="98">
        <v>0.22500000000000001</v>
      </c>
      <c r="G41" s="82">
        <v>0</v>
      </c>
      <c r="H41" s="72"/>
      <c r="I41" s="72">
        <v>0</v>
      </c>
      <c r="J41" s="72"/>
      <c r="K41" s="72">
        <f t="shared" si="2"/>
        <v>0</v>
      </c>
      <c r="L41" s="72"/>
      <c r="M41" s="72">
        <v>9970685138.9423065</v>
      </c>
      <c r="N41" s="72"/>
      <c r="O41" s="72">
        <v>0</v>
      </c>
      <c r="P41" s="72"/>
      <c r="Q41" s="72">
        <f t="shared" si="3"/>
        <v>9970685138.9423065</v>
      </c>
    </row>
    <row r="42" spans="1:17" s="118" customFormat="1" ht="30.75" customHeight="1">
      <c r="A42" s="263" t="s">
        <v>292</v>
      </c>
      <c r="B42" s="209"/>
      <c r="C42" s="208" t="s">
        <v>91</v>
      </c>
      <c r="E42" s="98">
        <v>0.22500000000000001</v>
      </c>
      <c r="G42" s="82">
        <v>177583564.52830189</v>
      </c>
      <c r="H42" s="72"/>
      <c r="I42" s="72">
        <v>0</v>
      </c>
      <c r="J42" s="72"/>
      <c r="K42" s="72">
        <f t="shared" si="2"/>
        <v>177583564.52830189</v>
      </c>
      <c r="L42" s="72"/>
      <c r="M42" s="72">
        <v>942558904.52830195</v>
      </c>
      <c r="N42" s="72"/>
      <c r="O42" s="72">
        <v>0</v>
      </c>
      <c r="P42" s="72"/>
      <c r="Q42" s="72">
        <f t="shared" si="3"/>
        <v>942558904.52830195</v>
      </c>
    </row>
    <row r="43" spans="1:17" s="118" customFormat="1" ht="30.75" customHeight="1" thickBot="1">
      <c r="A43" s="263" t="s">
        <v>290</v>
      </c>
      <c r="B43" s="209"/>
      <c r="C43" s="208" t="s">
        <v>91</v>
      </c>
      <c r="E43" s="98">
        <v>0.22500000000000001</v>
      </c>
      <c r="G43" s="82">
        <v>189003082.0754717</v>
      </c>
      <c r="H43" s="72"/>
      <c r="I43" s="72">
        <v>0</v>
      </c>
      <c r="J43" s="72"/>
      <c r="K43" s="72">
        <f t="shared" si="2"/>
        <v>189003082.0754717</v>
      </c>
      <c r="L43" s="72"/>
      <c r="M43" s="207">
        <v>654241438.01886797</v>
      </c>
      <c r="N43" s="72"/>
      <c r="O43" s="72">
        <v>0</v>
      </c>
      <c r="P43" s="72"/>
      <c r="Q43" s="72">
        <f t="shared" si="3"/>
        <v>654241438.01886797</v>
      </c>
    </row>
    <row r="44" spans="1:17" s="118" customFormat="1" ht="30.75" customHeight="1" thickBot="1">
      <c r="A44" s="263" t="s">
        <v>288</v>
      </c>
      <c r="B44" s="209"/>
      <c r="C44" s="208" t="s">
        <v>91</v>
      </c>
      <c r="E44" s="98">
        <v>0.22500000000000001</v>
      </c>
      <c r="G44" s="253">
        <v>355798980</v>
      </c>
      <c r="H44" s="72"/>
      <c r="I44" s="72">
        <v>0</v>
      </c>
      <c r="J44" s="72"/>
      <c r="K44" s="72">
        <f t="shared" si="2"/>
        <v>355798980</v>
      </c>
      <c r="L44" s="72"/>
      <c r="M44" s="207">
        <v>2403428423.7735848</v>
      </c>
      <c r="N44" s="72"/>
      <c r="O44" s="72">
        <v>0</v>
      </c>
      <c r="P44" s="72"/>
      <c r="Q44" s="72">
        <f t="shared" si="3"/>
        <v>2403428423.7735848</v>
      </c>
    </row>
    <row r="45" spans="1:17" s="118" customFormat="1" ht="30.75" customHeight="1">
      <c r="A45" s="263" t="s">
        <v>213</v>
      </c>
      <c r="B45" s="209"/>
      <c r="C45" s="208" t="s">
        <v>91</v>
      </c>
      <c r="E45" s="98">
        <v>0.05</v>
      </c>
      <c r="G45" s="82">
        <v>832986960</v>
      </c>
      <c r="H45" s="72"/>
      <c r="I45" s="72">
        <v>0</v>
      </c>
      <c r="J45" s="72"/>
      <c r="K45" s="72">
        <f>G45+I45</f>
        <v>832986960</v>
      </c>
      <c r="L45" s="72"/>
      <c r="M45" s="72">
        <f>452404+8785945904</f>
        <v>8786398308</v>
      </c>
      <c r="N45" s="72"/>
      <c r="O45" s="72">
        <v>0</v>
      </c>
      <c r="P45" s="72"/>
      <c r="Q45" s="72">
        <f>M45+O45</f>
        <v>8786398308</v>
      </c>
    </row>
    <row r="46" spans="1:17" s="118" customFormat="1" ht="30.75" customHeight="1">
      <c r="A46" s="263" t="s">
        <v>289</v>
      </c>
      <c r="B46" s="209"/>
      <c r="C46" s="208" t="s">
        <v>91</v>
      </c>
      <c r="E46" s="98">
        <v>0.22500000000000001</v>
      </c>
      <c r="G46" s="82">
        <v>2511326706.8965516</v>
      </c>
      <c r="H46" s="72"/>
      <c r="I46" s="72">
        <v>0</v>
      </c>
      <c r="J46" s="72"/>
      <c r="K46" s="72">
        <f t="shared" si="2"/>
        <v>2511326706.8965516</v>
      </c>
      <c r="L46" s="72"/>
      <c r="M46" s="207">
        <v>6532910127.5862064</v>
      </c>
      <c r="N46" s="72"/>
      <c r="O46" s="72">
        <v>-44132676</v>
      </c>
      <c r="P46" s="72"/>
      <c r="Q46" s="72">
        <f t="shared" si="3"/>
        <v>6488777451.5862064</v>
      </c>
    </row>
    <row r="47" spans="1:17" s="118" customFormat="1" ht="30.75" customHeight="1">
      <c r="A47" s="263" t="s">
        <v>286</v>
      </c>
      <c r="B47" s="209"/>
      <c r="C47" s="208" t="s">
        <v>91</v>
      </c>
      <c r="E47" s="98">
        <v>0.22500000000000001</v>
      </c>
      <c r="G47" s="262">
        <v>1346745206.8965516</v>
      </c>
      <c r="H47" s="72"/>
      <c r="I47" s="72">
        <v>0</v>
      </c>
      <c r="J47" s="72"/>
      <c r="K47" s="72">
        <f t="shared" si="2"/>
        <v>1346745206.8965516</v>
      </c>
      <c r="L47" s="72"/>
      <c r="M47" s="72">
        <v>3277080003.4482756</v>
      </c>
      <c r="N47" s="72"/>
      <c r="O47" s="72">
        <v>-13277232</v>
      </c>
      <c r="P47" s="72"/>
      <c r="Q47" s="72">
        <f t="shared" si="3"/>
        <v>3263802771.4482756</v>
      </c>
    </row>
    <row r="48" spans="1:17" s="118" customFormat="1" ht="30.75" customHeight="1">
      <c r="A48" s="263" t="s">
        <v>246</v>
      </c>
      <c r="B48" s="209"/>
      <c r="C48" s="208" t="s">
        <v>91</v>
      </c>
      <c r="E48" s="98">
        <v>0.22500000000000001</v>
      </c>
      <c r="G48" s="82">
        <v>0</v>
      </c>
      <c r="H48" s="72"/>
      <c r="I48" s="72">
        <v>0</v>
      </c>
      <c r="J48" s="72"/>
      <c r="K48" s="72">
        <f t="shared" si="2"/>
        <v>0</v>
      </c>
      <c r="L48" s="72"/>
      <c r="M48" s="72">
        <v>945616441.15384614</v>
      </c>
      <c r="N48" s="72"/>
      <c r="O48" s="72">
        <v>-566700</v>
      </c>
      <c r="P48" s="72"/>
      <c r="Q48" s="72">
        <f t="shared" si="3"/>
        <v>945049741.15384614</v>
      </c>
    </row>
    <row r="49" spans="1:17" s="118" customFormat="1" ht="30.75" customHeight="1">
      <c r="A49" s="263" t="s">
        <v>249</v>
      </c>
      <c r="B49" s="209"/>
      <c r="C49" s="208" t="s">
        <v>91</v>
      </c>
      <c r="E49" s="98">
        <v>0.22500000000000001</v>
      </c>
      <c r="G49" s="72">
        <v>0</v>
      </c>
      <c r="H49" s="72"/>
      <c r="I49" s="72"/>
      <c r="J49" s="72"/>
      <c r="K49" s="72">
        <f t="shared" si="2"/>
        <v>0</v>
      </c>
      <c r="L49" s="72"/>
      <c r="M49" s="72">
        <v>1128082191.0576923</v>
      </c>
      <c r="N49" s="72"/>
      <c r="O49" s="72">
        <v>-356455</v>
      </c>
      <c r="P49" s="72"/>
      <c r="Q49" s="72">
        <f t="shared" si="3"/>
        <v>1127725736.0576923</v>
      </c>
    </row>
    <row r="50" spans="1:17" s="118" customFormat="1" ht="30.75" customHeight="1">
      <c r="A50" s="263" t="s">
        <v>216</v>
      </c>
      <c r="B50" s="209"/>
      <c r="C50" s="208" t="s">
        <v>91</v>
      </c>
      <c r="E50" s="98">
        <v>0.22500000000000001</v>
      </c>
      <c r="G50" s="82">
        <v>0</v>
      </c>
      <c r="H50" s="72"/>
      <c r="I50" s="72">
        <v>0</v>
      </c>
      <c r="J50" s="72"/>
      <c r="K50" s="72">
        <f t="shared" si="2"/>
        <v>0</v>
      </c>
      <c r="L50" s="72"/>
      <c r="M50" s="72">
        <v>1047149625.2884614</v>
      </c>
      <c r="N50" s="72"/>
      <c r="O50" s="210">
        <v>0</v>
      </c>
      <c r="P50" s="72"/>
      <c r="Q50" s="72">
        <f t="shared" si="3"/>
        <v>1047149625.2884614</v>
      </c>
    </row>
    <row r="51" spans="1:17" s="118" customFormat="1" ht="30.75" customHeight="1">
      <c r="A51" s="263" t="s">
        <v>215</v>
      </c>
      <c r="B51" s="209"/>
      <c r="C51" s="208" t="s">
        <v>91</v>
      </c>
      <c r="E51" s="98">
        <v>0.22500000000000001</v>
      </c>
      <c r="G51" s="254">
        <v>0</v>
      </c>
      <c r="H51" s="72"/>
      <c r="I51" s="72">
        <v>0</v>
      </c>
      <c r="J51" s="72"/>
      <c r="K51" s="72">
        <f t="shared" si="2"/>
        <v>0</v>
      </c>
      <c r="L51" s="72">
        <f>H51+J51</f>
        <v>0</v>
      </c>
      <c r="M51" s="207">
        <v>1653713647.7884614</v>
      </c>
      <c r="N51" s="72"/>
      <c r="O51" s="72">
        <v>0</v>
      </c>
      <c r="P51" s="72"/>
      <c r="Q51" s="72">
        <f t="shared" si="3"/>
        <v>1653713647.7884614</v>
      </c>
    </row>
    <row r="52" spans="1:17" s="118" customFormat="1" ht="30.75" customHeight="1" thickBot="1">
      <c r="A52" s="263" t="s">
        <v>189</v>
      </c>
      <c r="B52" s="209"/>
      <c r="C52" s="208" t="s">
        <v>91</v>
      </c>
      <c r="E52" s="98">
        <v>0.22500000000000001</v>
      </c>
      <c r="G52" s="72">
        <v>0</v>
      </c>
      <c r="H52" s="72"/>
      <c r="I52" s="72">
        <v>0</v>
      </c>
      <c r="J52" s="72"/>
      <c r="K52" s="72">
        <f t="shared" si="2"/>
        <v>0</v>
      </c>
      <c r="L52" s="72"/>
      <c r="M52" s="72">
        <v>561941226.34615386</v>
      </c>
      <c r="N52" s="72"/>
      <c r="O52" s="72">
        <v>0</v>
      </c>
      <c r="P52" s="72"/>
      <c r="Q52" s="72">
        <f t="shared" si="3"/>
        <v>561941226.34615386</v>
      </c>
    </row>
    <row r="53" spans="1:17" s="118" customFormat="1" ht="30.75" customHeight="1" thickBot="1">
      <c r="A53" s="263" t="s">
        <v>190</v>
      </c>
      <c r="B53" s="209"/>
      <c r="C53" s="208" t="s">
        <v>91</v>
      </c>
      <c r="E53" s="98">
        <v>0.22500000000000001</v>
      </c>
      <c r="G53" s="253">
        <v>0</v>
      </c>
      <c r="H53" s="72"/>
      <c r="I53" s="72">
        <v>0</v>
      </c>
      <c r="J53" s="72"/>
      <c r="K53" s="72">
        <f t="shared" si="2"/>
        <v>0</v>
      </c>
      <c r="L53" s="72"/>
      <c r="M53" s="72">
        <v>1150006434.2307694</v>
      </c>
      <c r="N53" s="72"/>
      <c r="O53" s="72">
        <v>0</v>
      </c>
      <c r="P53" s="72"/>
      <c r="Q53" s="72">
        <f t="shared" si="3"/>
        <v>1150006434.2307694</v>
      </c>
    </row>
    <row r="54" spans="1:17" s="118" customFormat="1" ht="30.75" customHeight="1" thickBot="1">
      <c r="A54" s="263" t="s">
        <v>217</v>
      </c>
      <c r="B54" s="209"/>
      <c r="C54" s="208" t="s">
        <v>91</v>
      </c>
      <c r="E54" s="98">
        <v>0.22500000000000001</v>
      </c>
      <c r="G54" s="253">
        <v>0</v>
      </c>
      <c r="H54" s="72"/>
      <c r="I54" s="72">
        <v>0</v>
      </c>
      <c r="J54" s="72"/>
      <c r="K54" s="72">
        <f t="shared" si="2"/>
        <v>0</v>
      </c>
      <c r="L54" s="72"/>
      <c r="M54" s="72">
        <v>1073709852.4038461</v>
      </c>
      <c r="N54" s="72"/>
      <c r="O54" s="72">
        <v>0</v>
      </c>
      <c r="P54" s="72"/>
      <c r="Q54" s="72">
        <f t="shared" si="3"/>
        <v>1073709852.4038461</v>
      </c>
    </row>
    <row r="55" spans="1:17" s="118" customFormat="1" ht="30.75" customHeight="1" thickBot="1">
      <c r="A55" s="263" t="s">
        <v>214</v>
      </c>
      <c r="B55" s="209"/>
      <c r="C55" s="208" t="s">
        <v>91</v>
      </c>
      <c r="E55" s="98">
        <v>0.22500000000000001</v>
      </c>
      <c r="G55" s="253">
        <v>0</v>
      </c>
      <c r="H55" s="72"/>
      <c r="I55" s="72">
        <v>0</v>
      </c>
      <c r="J55" s="72"/>
      <c r="K55" s="72">
        <f t="shared" si="2"/>
        <v>0</v>
      </c>
      <c r="L55" s="72"/>
      <c r="M55" s="72">
        <v>788745032.30769229</v>
      </c>
      <c r="N55" s="72"/>
      <c r="O55" s="72">
        <v>0</v>
      </c>
      <c r="P55" s="72"/>
      <c r="Q55" s="72">
        <f t="shared" si="3"/>
        <v>788745032.30769229</v>
      </c>
    </row>
    <row r="56" spans="1:17" s="118" customFormat="1" ht="30.75" customHeight="1">
      <c r="A56" s="263" t="s">
        <v>180</v>
      </c>
      <c r="B56" s="209"/>
      <c r="C56" s="208" t="s">
        <v>91</v>
      </c>
      <c r="E56" s="98">
        <v>0.22500000000000001</v>
      </c>
      <c r="G56" s="82">
        <v>0</v>
      </c>
      <c r="H56" s="72"/>
      <c r="I56" s="72">
        <v>0</v>
      </c>
      <c r="J56" s="72"/>
      <c r="K56" s="72">
        <f t="shared" si="2"/>
        <v>0</v>
      </c>
      <c r="L56" s="72"/>
      <c r="M56" s="72">
        <v>10084868826.923077</v>
      </c>
      <c r="N56" s="72"/>
      <c r="O56" s="72">
        <v>0</v>
      </c>
      <c r="P56" s="72"/>
      <c r="Q56" s="72">
        <f t="shared" si="3"/>
        <v>10084868826.923077</v>
      </c>
    </row>
    <row r="57" spans="1:17" s="118" customFormat="1" ht="30.75" customHeight="1">
      <c r="A57" s="263" t="s">
        <v>181</v>
      </c>
      <c r="B57" s="209"/>
      <c r="C57" s="208" t="s">
        <v>91</v>
      </c>
      <c r="E57" s="98">
        <v>0.05</v>
      </c>
      <c r="G57" s="262">
        <f>17712+617291506</f>
        <v>617309218</v>
      </c>
      <c r="H57" s="72"/>
      <c r="I57" s="72">
        <v>0</v>
      </c>
      <c r="J57" s="72"/>
      <c r="K57" s="72">
        <f t="shared" si="2"/>
        <v>617309218</v>
      </c>
      <c r="L57" s="72"/>
      <c r="M57" s="72">
        <f>70322+4437083597</f>
        <v>4437153919</v>
      </c>
      <c r="N57" s="72"/>
      <c r="O57" s="72">
        <v>0</v>
      </c>
      <c r="P57" s="72"/>
      <c r="Q57" s="72">
        <f t="shared" si="3"/>
        <v>4437153919</v>
      </c>
    </row>
    <row r="58" spans="1:17" s="118" customFormat="1" ht="30.75" customHeight="1">
      <c r="A58" s="263" t="s">
        <v>312</v>
      </c>
      <c r="B58" s="209"/>
      <c r="C58" s="208" t="s">
        <v>91</v>
      </c>
      <c r="E58" s="98">
        <v>0.22500000000000001</v>
      </c>
      <c r="G58" s="262">
        <v>2815068492.5</v>
      </c>
      <c r="H58" s="72"/>
      <c r="I58" s="72">
        <v>-976284</v>
      </c>
      <c r="J58" s="72"/>
      <c r="K58" s="72">
        <f t="shared" si="2"/>
        <v>2814092208.5</v>
      </c>
      <c r="L58" s="72"/>
      <c r="M58" s="72">
        <v>4386986299.166667</v>
      </c>
      <c r="N58" s="72"/>
      <c r="O58" s="72">
        <v>-17573113</v>
      </c>
      <c r="P58" s="72"/>
      <c r="Q58" s="72">
        <f t="shared" si="3"/>
        <v>4369413186.166667</v>
      </c>
    </row>
    <row r="59" spans="1:17" s="118" customFormat="1" ht="30.75" customHeight="1">
      <c r="A59" s="263" t="s">
        <v>347</v>
      </c>
      <c r="B59" s="209"/>
      <c r="C59" s="208" t="s">
        <v>91</v>
      </c>
      <c r="E59" s="98">
        <v>0.22500000000000001</v>
      </c>
      <c r="G59" s="82">
        <v>167710696.66666666</v>
      </c>
      <c r="H59" s="72"/>
      <c r="I59" s="72">
        <v>-3940834</v>
      </c>
      <c r="J59" s="72"/>
      <c r="K59" s="72">
        <f t="shared" si="2"/>
        <v>163769862.66666666</v>
      </c>
      <c r="L59" s="72"/>
      <c r="M59" s="207">
        <v>167710696.66666666</v>
      </c>
      <c r="N59" s="72"/>
      <c r="O59" s="72">
        <v>-3940834</v>
      </c>
      <c r="P59" s="72"/>
      <c r="Q59" s="72">
        <f t="shared" si="3"/>
        <v>163769862.66666666</v>
      </c>
    </row>
    <row r="60" spans="1:17" s="118" customFormat="1" ht="30.75" customHeight="1">
      <c r="A60" s="263" t="s">
        <v>313</v>
      </c>
      <c r="B60" s="209"/>
      <c r="C60" s="208" t="s">
        <v>91</v>
      </c>
      <c r="E60" s="98">
        <v>0.22500000000000001</v>
      </c>
      <c r="G60" s="82">
        <v>483033082.0754717</v>
      </c>
      <c r="H60" s="72"/>
      <c r="I60" s="72">
        <v>-105976</v>
      </c>
      <c r="J60" s="72"/>
      <c r="K60" s="72">
        <f t="shared" si="2"/>
        <v>482927106.0754717</v>
      </c>
      <c r="L60" s="72"/>
      <c r="M60" s="72">
        <v>810249049.52830184</v>
      </c>
      <c r="N60" s="72"/>
      <c r="O60" s="72">
        <v>-2331466</v>
      </c>
      <c r="P60" s="72"/>
      <c r="Q60" s="72">
        <f t="shared" si="3"/>
        <v>807917583.52830184</v>
      </c>
    </row>
    <row r="61" spans="1:17" s="118" customFormat="1" ht="30.75" customHeight="1">
      <c r="A61" s="263" t="s">
        <v>342</v>
      </c>
      <c r="B61" s="209"/>
      <c r="C61" s="208" t="s">
        <v>91</v>
      </c>
      <c r="E61" s="98">
        <v>0.22500000000000001</v>
      </c>
      <c r="G61" s="262">
        <v>98013697.499999985</v>
      </c>
      <c r="H61" s="72"/>
      <c r="I61" s="72">
        <v>-2219417</v>
      </c>
      <c r="J61" s="72"/>
      <c r="K61" s="72">
        <f t="shared" si="2"/>
        <v>95794280.499999985</v>
      </c>
      <c r="L61" s="72"/>
      <c r="M61" s="72">
        <v>98013697.499999985</v>
      </c>
      <c r="N61" s="72"/>
      <c r="O61" s="72">
        <v>-2219417</v>
      </c>
      <c r="P61" s="72"/>
      <c r="Q61" s="72">
        <f t="shared" si="3"/>
        <v>95794280.499999985</v>
      </c>
    </row>
    <row r="62" spans="1:17" s="118" customFormat="1" ht="30.75" customHeight="1">
      <c r="A62" s="263" t="s">
        <v>314</v>
      </c>
      <c r="B62" s="209"/>
      <c r="C62" s="208" t="s">
        <v>91</v>
      </c>
      <c r="E62" s="98">
        <v>0.22500000000000001</v>
      </c>
      <c r="G62" s="262">
        <v>240410958.96226415</v>
      </c>
      <c r="H62" s="72"/>
      <c r="I62" s="72">
        <v>0</v>
      </c>
      <c r="J62" s="72"/>
      <c r="K62" s="72">
        <f t="shared" si="2"/>
        <v>240410958.96226415</v>
      </c>
      <c r="L62" s="72"/>
      <c r="M62" s="72">
        <v>344589039.33962262</v>
      </c>
      <c r="N62" s="72"/>
      <c r="O62" s="72">
        <v>-1408954</v>
      </c>
      <c r="P62" s="72"/>
      <c r="Q62" s="72">
        <f t="shared" si="3"/>
        <v>343180085.33962262</v>
      </c>
    </row>
    <row r="63" spans="1:17" s="118" customFormat="1" ht="30.75" customHeight="1">
      <c r="A63" s="263" t="s">
        <v>315</v>
      </c>
      <c r="B63" s="209"/>
      <c r="C63" s="208" t="s">
        <v>91</v>
      </c>
      <c r="E63" s="98">
        <v>0.22500000000000001</v>
      </c>
      <c r="G63" s="82">
        <v>178521780.56603774</v>
      </c>
      <c r="H63" s="72"/>
      <c r="I63" s="72">
        <v>-92289</v>
      </c>
      <c r="J63" s="72"/>
      <c r="K63" s="72">
        <f t="shared" si="2"/>
        <v>178429491.56603774</v>
      </c>
      <c r="L63" s="72"/>
      <c r="M63" s="72">
        <v>236109452.26415095</v>
      </c>
      <c r="N63" s="72"/>
      <c r="O63" s="72">
        <v>-1015178</v>
      </c>
      <c r="P63" s="72"/>
      <c r="Q63" s="72">
        <f t="shared" si="3"/>
        <v>235094274.26415095</v>
      </c>
    </row>
    <row r="64" spans="1:17" s="118" customFormat="1" ht="30.75" customHeight="1">
      <c r="A64" s="263" t="s">
        <v>344</v>
      </c>
      <c r="B64" s="209"/>
      <c r="C64" s="208" t="s">
        <v>91</v>
      </c>
      <c r="E64" s="98">
        <v>0.22500000000000001</v>
      </c>
      <c r="G64" s="82">
        <v>92157532.641509444</v>
      </c>
      <c r="H64" s="72"/>
      <c r="I64" s="72">
        <v>-470772</v>
      </c>
      <c r="J64" s="72"/>
      <c r="K64" s="72">
        <f t="shared" si="2"/>
        <v>91686760.641509444</v>
      </c>
      <c r="L64" s="72"/>
      <c r="M64" s="207">
        <v>92157532.641509444</v>
      </c>
      <c r="N64" s="72"/>
      <c r="O64" s="72">
        <v>-470772</v>
      </c>
      <c r="P64" s="72"/>
      <c r="Q64" s="72">
        <f t="shared" si="3"/>
        <v>91686760.641509444</v>
      </c>
    </row>
    <row r="65" spans="1:17" s="118" customFormat="1" ht="30.75" customHeight="1">
      <c r="A65" s="263" t="s">
        <v>167</v>
      </c>
      <c r="B65" s="209"/>
      <c r="C65" s="208" t="s">
        <v>91</v>
      </c>
      <c r="E65" s="98">
        <v>0.22500000000000001</v>
      </c>
      <c r="G65" s="82">
        <v>0</v>
      </c>
      <c r="H65" s="72"/>
      <c r="I65" s="72">
        <v>0</v>
      </c>
      <c r="J65" s="72"/>
      <c r="K65" s="72">
        <f t="shared" si="2"/>
        <v>0</v>
      </c>
      <c r="L65" s="72"/>
      <c r="M65" s="72">
        <v>2879866768.8461537</v>
      </c>
      <c r="N65" s="72"/>
      <c r="O65" s="72">
        <v>0</v>
      </c>
      <c r="P65" s="72"/>
      <c r="Q65" s="72">
        <f t="shared" si="3"/>
        <v>2879866768.8461537</v>
      </c>
    </row>
    <row r="66" spans="1:17" s="118" customFormat="1" ht="30.75" customHeight="1">
      <c r="A66" s="263" t="s">
        <v>149</v>
      </c>
      <c r="B66" s="209"/>
      <c r="C66" s="208" t="s">
        <v>91</v>
      </c>
      <c r="E66" s="98">
        <v>0.22500000000000001</v>
      </c>
      <c r="G66" s="72">
        <v>0</v>
      </c>
      <c r="H66" s="72"/>
      <c r="I66" s="72">
        <v>0</v>
      </c>
      <c r="J66" s="72"/>
      <c r="K66" s="72">
        <f t="shared" si="2"/>
        <v>0</v>
      </c>
      <c r="L66" s="72"/>
      <c r="M66" s="72">
        <v>589338777.98076928</v>
      </c>
      <c r="N66" s="72"/>
      <c r="O66" s="72">
        <v>0</v>
      </c>
      <c r="P66" s="72"/>
      <c r="Q66" s="72">
        <f t="shared" si="3"/>
        <v>589338777.98076928</v>
      </c>
    </row>
    <row r="67" spans="1:17" s="118" customFormat="1" ht="30.75" customHeight="1">
      <c r="A67" s="263" t="s">
        <v>151</v>
      </c>
      <c r="B67" s="209"/>
      <c r="C67" s="208" t="s">
        <v>91</v>
      </c>
      <c r="E67" s="98">
        <v>0.22500000000000001</v>
      </c>
      <c r="G67" s="72">
        <v>0</v>
      </c>
      <c r="H67" s="72"/>
      <c r="I67" s="72">
        <v>0</v>
      </c>
      <c r="J67" s="72"/>
      <c r="K67" s="72">
        <f t="shared" si="2"/>
        <v>0</v>
      </c>
      <c r="L67" s="72"/>
      <c r="M67" s="72">
        <v>2147054794.2</v>
      </c>
      <c r="N67" s="72"/>
      <c r="O67" s="72">
        <v>0</v>
      </c>
      <c r="P67" s="72"/>
      <c r="Q67" s="72">
        <f t="shared" si="3"/>
        <v>2147054794.2</v>
      </c>
    </row>
    <row r="68" spans="1:17" s="118" customFormat="1" ht="30.75" customHeight="1">
      <c r="A68" s="263" t="s">
        <v>252</v>
      </c>
      <c r="B68" s="209"/>
      <c r="C68" s="208" t="s">
        <v>91</v>
      </c>
      <c r="E68" s="98">
        <v>0.22500000000000001</v>
      </c>
      <c r="G68" s="72">
        <v>0</v>
      </c>
      <c r="H68" s="72"/>
      <c r="I68" s="72">
        <v>0</v>
      </c>
      <c r="J68" s="72"/>
      <c r="K68" s="72">
        <f t="shared" si="2"/>
        <v>0</v>
      </c>
      <c r="L68" s="72"/>
      <c r="M68" s="72">
        <v>7330116550.6730766</v>
      </c>
      <c r="N68" s="72"/>
      <c r="O68" s="210">
        <v>0</v>
      </c>
      <c r="P68" s="72"/>
      <c r="Q68" s="72">
        <f t="shared" si="3"/>
        <v>7330116550.6730766</v>
      </c>
    </row>
    <row r="69" spans="1:17" s="118" customFormat="1" ht="30.75" customHeight="1">
      <c r="A69" s="263" t="s">
        <v>187</v>
      </c>
      <c r="B69" s="209"/>
      <c r="C69" s="208" t="s">
        <v>91</v>
      </c>
      <c r="E69" s="98">
        <v>0.22500000000000001</v>
      </c>
      <c r="G69" s="72">
        <v>0</v>
      </c>
      <c r="H69" s="72"/>
      <c r="I69" s="72">
        <v>0</v>
      </c>
      <c r="J69" s="72"/>
      <c r="K69" s="72">
        <f t="shared" si="2"/>
        <v>0</v>
      </c>
      <c r="L69" s="72"/>
      <c r="M69" s="72">
        <v>463895754.30000001</v>
      </c>
      <c r="N69" s="72"/>
      <c r="O69" s="210">
        <v>0</v>
      </c>
      <c r="P69" s="72"/>
      <c r="Q69" s="72">
        <f t="shared" si="3"/>
        <v>463895754.30000001</v>
      </c>
    </row>
    <row r="70" spans="1:17" s="118" customFormat="1" ht="30.75" customHeight="1">
      <c r="A70" s="263" t="s">
        <v>168</v>
      </c>
      <c r="B70" s="209"/>
      <c r="C70" s="208" t="s">
        <v>91</v>
      </c>
      <c r="E70" s="98">
        <v>0.22500000000000001</v>
      </c>
      <c r="G70" s="82">
        <v>0</v>
      </c>
      <c r="H70" s="72"/>
      <c r="I70" s="72">
        <v>0</v>
      </c>
      <c r="J70" s="72"/>
      <c r="K70" s="72">
        <f t="shared" si="2"/>
        <v>0</v>
      </c>
      <c r="L70" s="72"/>
      <c r="M70" s="72">
        <v>1237505882.0192306</v>
      </c>
      <c r="N70" s="72"/>
      <c r="O70" s="210">
        <v>0</v>
      </c>
      <c r="P70" s="72"/>
      <c r="Q70" s="72">
        <f t="shared" si="3"/>
        <v>1237505882.0192306</v>
      </c>
    </row>
    <row r="71" spans="1:17" s="118" customFormat="1" ht="30.75" customHeight="1">
      <c r="A71" s="263" t="s">
        <v>150</v>
      </c>
      <c r="B71" s="209"/>
      <c r="C71" s="208" t="s">
        <v>91</v>
      </c>
      <c r="E71" s="98">
        <v>0.22500000000000001</v>
      </c>
      <c r="G71" s="82">
        <v>0</v>
      </c>
      <c r="H71" s="72"/>
      <c r="I71" s="72">
        <v>0</v>
      </c>
      <c r="J71" s="72"/>
      <c r="K71" s="72">
        <f t="shared" ref="K71:K102" si="4">G71+I71</f>
        <v>0</v>
      </c>
      <c r="L71" s="72"/>
      <c r="M71" s="72">
        <v>1062900764.1346154</v>
      </c>
      <c r="N71" s="72"/>
      <c r="O71" s="210">
        <v>0</v>
      </c>
      <c r="P71" s="72"/>
      <c r="Q71" s="72">
        <f t="shared" ref="Q71:Q102" si="5">M71+O71</f>
        <v>1062900764.1346154</v>
      </c>
    </row>
    <row r="72" spans="1:17" s="118" customFormat="1" ht="30.75" customHeight="1">
      <c r="A72" s="263" t="s">
        <v>155</v>
      </c>
      <c r="B72" s="209"/>
      <c r="C72" s="208" t="s">
        <v>91</v>
      </c>
      <c r="E72" s="98">
        <v>0.22500000000000001</v>
      </c>
      <c r="G72" s="82">
        <v>0</v>
      </c>
      <c r="H72" s="72"/>
      <c r="I72" s="72">
        <v>0</v>
      </c>
      <c r="J72" s="72"/>
      <c r="K72" s="72">
        <f t="shared" si="4"/>
        <v>0</v>
      </c>
      <c r="L72" s="72"/>
      <c r="M72" s="72">
        <v>47455446393.17308</v>
      </c>
      <c r="N72" s="72"/>
      <c r="O72" s="210">
        <v>0</v>
      </c>
      <c r="P72" s="72"/>
      <c r="Q72" s="72">
        <f t="shared" si="5"/>
        <v>47455446393.17308</v>
      </c>
    </row>
    <row r="73" spans="1:17" s="118" customFormat="1" ht="30.75" customHeight="1">
      <c r="A73" s="263" t="s">
        <v>159</v>
      </c>
      <c r="B73" s="209"/>
      <c r="C73" s="208" t="s">
        <v>91</v>
      </c>
      <c r="E73" s="98">
        <v>0.22500000000000001</v>
      </c>
      <c r="G73" s="82">
        <v>0</v>
      </c>
      <c r="H73" s="72"/>
      <c r="I73" s="72">
        <v>0</v>
      </c>
      <c r="J73" s="72"/>
      <c r="K73" s="72">
        <f t="shared" si="4"/>
        <v>0</v>
      </c>
      <c r="L73" s="72"/>
      <c r="M73" s="72">
        <v>1712689520.4000001</v>
      </c>
      <c r="N73" s="72"/>
      <c r="O73" s="210">
        <v>0</v>
      </c>
      <c r="P73" s="72"/>
      <c r="Q73" s="72">
        <f t="shared" si="5"/>
        <v>1712689520.4000001</v>
      </c>
    </row>
    <row r="74" spans="1:17" s="118" customFormat="1" ht="30.75" customHeight="1" thickBot="1">
      <c r="A74" s="263" t="s">
        <v>251</v>
      </c>
      <c r="B74" s="209"/>
      <c r="C74" s="208" t="s">
        <v>91</v>
      </c>
      <c r="E74" s="98">
        <v>0.22500000000000001</v>
      </c>
      <c r="G74" s="72">
        <v>0</v>
      </c>
      <c r="H74" s="72"/>
      <c r="I74" s="72">
        <v>0</v>
      </c>
      <c r="J74" s="72"/>
      <c r="K74" s="72">
        <f t="shared" si="4"/>
        <v>0</v>
      </c>
      <c r="L74" s="72"/>
      <c r="M74" s="207">
        <v>1728328324.3269229</v>
      </c>
      <c r="N74" s="72"/>
      <c r="O74" s="72">
        <v>0</v>
      </c>
      <c r="P74" s="72"/>
      <c r="Q74" s="72">
        <f t="shared" si="5"/>
        <v>1728328324.3269229</v>
      </c>
    </row>
    <row r="75" spans="1:17" s="118" customFormat="1" ht="30.75" customHeight="1" thickBot="1">
      <c r="A75" s="263" t="s">
        <v>242</v>
      </c>
      <c r="B75" s="209"/>
      <c r="C75" s="208" t="s">
        <v>91</v>
      </c>
      <c r="E75" s="98">
        <v>0.22500000000000001</v>
      </c>
      <c r="G75" s="253">
        <v>0</v>
      </c>
      <c r="H75" s="72"/>
      <c r="I75" s="72">
        <v>0</v>
      </c>
      <c r="J75" s="72"/>
      <c r="K75" s="72">
        <f t="shared" si="4"/>
        <v>0</v>
      </c>
      <c r="L75" s="72"/>
      <c r="M75" s="207">
        <v>4983904108.8000002</v>
      </c>
      <c r="N75" s="72"/>
      <c r="O75" s="72">
        <v>0</v>
      </c>
      <c r="P75" s="72"/>
      <c r="Q75" s="72">
        <f t="shared" si="5"/>
        <v>4983904108.8000002</v>
      </c>
    </row>
    <row r="76" spans="1:17" s="118" customFormat="1" ht="30.75" customHeight="1">
      <c r="A76" s="263" t="s">
        <v>123</v>
      </c>
      <c r="B76" s="209"/>
      <c r="C76" s="208" t="s">
        <v>91</v>
      </c>
      <c r="E76" s="98">
        <v>0.22500000000000001</v>
      </c>
      <c r="G76" s="72">
        <v>0</v>
      </c>
      <c r="H76" s="72"/>
      <c r="I76" s="72">
        <v>0</v>
      </c>
      <c r="J76" s="72"/>
      <c r="K76" s="72">
        <f t="shared" si="4"/>
        <v>0</v>
      </c>
      <c r="L76" s="72"/>
      <c r="M76" s="207">
        <v>14825856164.0625</v>
      </c>
      <c r="N76" s="72"/>
      <c r="O76" s="72">
        <v>0</v>
      </c>
      <c r="P76" s="72"/>
      <c r="Q76" s="72">
        <f t="shared" si="5"/>
        <v>14825856164.0625</v>
      </c>
    </row>
    <row r="77" spans="1:17" s="118" customFormat="1" ht="30.75" customHeight="1">
      <c r="A77" s="263" t="s">
        <v>201</v>
      </c>
      <c r="B77" s="209"/>
      <c r="C77" s="208" t="s">
        <v>91</v>
      </c>
      <c r="E77" s="98">
        <v>0.22500000000000001</v>
      </c>
      <c r="G77" s="72">
        <v>0</v>
      </c>
      <c r="H77" s="72"/>
      <c r="I77" s="72">
        <v>0</v>
      </c>
      <c r="J77" s="72"/>
      <c r="K77" s="72">
        <f t="shared" si="4"/>
        <v>0</v>
      </c>
      <c r="L77" s="72"/>
      <c r="M77" s="72">
        <v>188408219.71153846</v>
      </c>
      <c r="N77" s="72"/>
      <c r="O77" s="72">
        <v>0</v>
      </c>
      <c r="P77" s="72"/>
      <c r="Q77" s="72">
        <f t="shared" si="5"/>
        <v>188408219.71153846</v>
      </c>
    </row>
    <row r="78" spans="1:17" s="118" customFormat="1" ht="30.75" customHeight="1">
      <c r="A78" s="263" t="s">
        <v>157</v>
      </c>
      <c r="B78" s="209"/>
      <c r="C78" s="208" t="s">
        <v>91</v>
      </c>
      <c r="E78" s="98">
        <v>0.22500000000000001</v>
      </c>
      <c r="G78" s="72">
        <v>0</v>
      </c>
      <c r="H78" s="72"/>
      <c r="I78" s="72">
        <v>0</v>
      </c>
      <c r="J78" s="72"/>
      <c r="K78" s="72">
        <f t="shared" si="4"/>
        <v>0</v>
      </c>
      <c r="L78" s="72"/>
      <c r="M78" s="72">
        <v>6322112876.0204086</v>
      </c>
      <c r="N78" s="72"/>
      <c r="O78" s="72">
        <v>0</v>
      </c>
      <c r="P78" s="72"/>
      <c r="Q78" s="72">
        <f t="shared" si="5"/>
        <v>6322112876.0204086</v>
      </c>
    </row>
    <row r="79" spans="1:17" s="118" customFormat="1" ht="30.75" customHeight="1">
      <c r="A79" s="263" t="s">
        <v>158</v>
      </c>
      <c r="B79" s="209"/>
      <c r="C79" s="208" t="s">
        <v>91</v>
      </c>
      <c r="E79" s="98">
        <v>0.22500000000000001</v>
      </c>
      <c r="G79" s="72">
        <v>0</v>
      </c>
      <c r="H79" s="72"/>
      <c r="I79" s="72">
        <v>0</v>
      </c>
      <c r="J79" s="72"/>
      <c r="K79" s="72">
        <f t="shared" si="4"/>
        <v>0</v>
      </c>
      <c r="L79" s="72"/>
      <c r="M79" s="72">
        <v>241169176.83673471</v>
      </c>
      <c r="N79" s="72"/>
      <c r="O79" s="72">
        <v>0</v>
      </c>
      <c r="P79" s="72"/>
      <c r="Q79" s="72">
        <f t="shared" si="5"/>
        <v>241169176.83673471</v>
      </c>
    </row>
    <row r="80" spans="1:17" s="118" customFormat="1" ht="30.75" customHeight="1">
      <c r="A80" s="263" t="s">
        <v>156</v>
      </c>
      <c r="B80" s="209"/>
      <c r="C80" s="208" t="s">
        <v>91</v>
      </c>
      <c r="E80" s="98">
        <v>0.22500000000000001</v>
      </c>
      <c r="G80" s="72">
        <v>0</v>
      </c>
      <c r="H80" s="72"/>
      <c r="I80" s="72">
        <v>0</v>
      </c>
      <c r="J80" s="72"/>
      <c r="K80" s="72">
        <f t="shared" si="4"/>
        <v>0</v>
      </c>
      <c r="L80" s="72"/>
      <c r="M80" s="72">
        <v>2223801368.2653065</v>
      </c>
      <c r="N80" s="72"/>
      <c r="O80" s="72">
        <v>0</v>
      </c>
      <c r="P80" s="72"/>
      <c r="Q80" s="72">
        <f t="shared" si="5"/>
        <v>2223801368.2653065</v>
      </c>
    </row>
    <row r="81" spans="1:17" s="118" customFormat="1" ht="30.75" customHeight="1">
      <c r="A81" s="263" t="s">
        <v>200</v>
      </c>
      <c r="B81" s="209"/>
      <c r="C81" s="208" t="s">
        <v>91</v>
      </c>
      <c r="E81" s="98">
        <v>0.22500000000000001</v>
      </c>
      <c r="G81" s="82">
        <v>0</v>
      </c>
      <c r="H81" s="72"/>
      <c r="I81" s="72">
        <v>0</v>
      </c>
      <c r="J81" s="72"/>
      <c r="K81" s="72">
        <f t="shared" si="4"/>
        <v>0</v>
      </c>
      <c r="L81" s="72"/>
      <c r="M81" s="72">
        <v>1668747945.2884617</v>
      </c>
      <c r="N81" s="72"/>
      <c r="O81" s="72">
        <v>0</v>
      </c>
      <c r="P81" s="72"/>
      <c r="Q81" s="72">
        <f t="shared" si="5"/>
        <v>1668747945.2884617</v>
      </c>
    </row>
    <row r="82" spans="1:17" s="118" customFormat="1" ht="30.75" customHeight="1">
      <c r="A82" s="263" t="s">
        <v>188</v>
      </c>
      <c r="B82" s="209"/>
      <c r="C82" s="208" t="s">
        <v>91</v>
      </c>
      <c r="E82" s="98">
        <v>0.22500000000000001</v>
      </c>
      <c r="G82" s="82">
        <v>0</v>
      </c>
      <c r="H82" s="72"/>
      <c r="I82" s="72">
        <v>0</v>
      </c>
      <c r="J82" s="72"/>
      <c r="K82" s="72">
        <f t="shared" si="4"/>
        <v>0</v>
      </c>
      <c r="L82" s="72"/>
      <c r="M82" s="72">
        <v>399452054.40000004</v>
      </c>
      <c r="N82" s="72"/>
      <c r="O82" s="72">
        <v>0</v>
      </c>
      <c r="P82" s="72"/>
      <c r="Q82" s="72">
        <f t="shared" si="5"/>
        <v>399452054.40000004</v>
      </c>
    </row>
    <row r="83" spans="1:17" s="118" customFormat="1" ht="30.75" customHeight="1">
      <c r="A83" s="263" t="s">
        <v>173</v>
      </c>
      <c r="B83" s="209"/>
      <c r="C83" s="208" t="s">
        <v>91</v>
      </c>
      <c r="E83" s="98">
        <v>0.22500000000000001</v>
      </c>
      <c r="G83" s="82">
        <v>0</v>
      </c>
      <c r="H83" s="72"/>
      <c r="I83" s="72">
        <v>0</v>
      </c>
      <c r="J83" s="72"/>
      <c r="K83" s="72">
        <f t="shared" si="4"/>
        <v>0</v>
      </c>
      <c r="L83" s="72"/>
      <c r="M83" s="72">
        <v>11381237891.320755</v>
      </c>
      <c r="N83" s="72"/>
      <c r="O83" s="72">
        <v>0</v>
      </c>
      <c r="P83" s="72"/>
      <c r="Q83" s="72">
        <f t="shared" si="5"/>
        <v>11381237891.320755</v>
      </c>
    </row>
    <row r="84" spans="1:17" s="118" customFormat="1" ht="30.75" customHeight="1">
      <c r="A84" s="263" t="s">
        <v>152</v>
      </c>
      <c r="B84" s="209"/>
      <c r="C84" s="208" t="s">
        <v>91</v>
      </c>
      <c r="E84" s="98">
        <v>0.22500000000000001</v>
      </c>
      <c r="G84" s="82">
        <v>0</v>
      </c>
      <c r="H84" s="72"/>
      <c r="I84" s="72">
        <v>0</v>
      </c>
      <c r="J84" s="72"/>
      <c r="K84" s="72">
        <f t="shared" si="4"/>
        <v>0</v>
      </c>
      <c r="L84" s="72"/>
      <c r="M84" s="72">
        <v>343403012.69999999</v>
      </c>
      <c r="N84" s="72"/>
      <c r="O84" s="72">
        <v>0</v>
      </c>
      <c r="P84" s="72"/>
      <c r="Q84" s="72">
        <f t="shared" si="5"/>
        <v>343403012.69999999</v>
      </c>
    </row>
    <row r="85" spans="1:17" s="118" customFormat="1" ht="30.75" customHeight="1" thickBot="1">
      <c r="A85" s="263" t="s">
        <v>154</v>
      </c>
      <c r="B85" s="209"/>
      <c r="C85" s="208" t="s">
        <v>91</v>
      </c>
      <c r="E85" s="98">
        <v>0.22500000000000001</v>
      </c>
      <c r="G85" s="72">
        <v>0</v>
      </c>
      <c r="H85" s="72"/>
      <c r="I85" s="72">
        <v>0</v>
      </c>
      <c r="J85" s="72"/>
      <c r="K85" s="72">
        <f t="shared" si="4"/>
        <v>0</v>
      </c>
      <c r="L85" s="72"/>
      <c r="M85" s="72">
        <v>288095546.25</v>
      </c>
      <c r="N85" s="72"/>
      <c r="O85" s="72">
        <v>0</v>
      </c>
      <c r="P85" s="72"/>
      <c r="Q85" s="72">
        <f t="shared" si="5"/>
        <v>288095546.25</v>
      </c>
    </row>
    <row r="86" spans="1:17" s="118" customFormat="1" ht="30.75" customHeight="1" thickBot="1">
      <c r="A86" s="263" t="s">
        <v>184</v>
      </c>
      <c r="B86" s="209"/>
      <c r="C86" s="208" t="s">
        <v>91</v>
      </c>
      <c r="E86" s="98">
        <v>0.22500000000000001</v>
      </c>
      <c r="G86" s="253">
        <v>0</v>
      </c>
      <c r="H86" s="72"/>
      <c r="I86" s="72">
        <v>0</v>
      </c>
      <c r="J86" s="72"/>
      <c r="K86" s="72">
        <f t="shared" si="4"/>
        <v>0</v>
      </c>
      <c r="L86" s="72"/>
      <c r="M86" s="72">
        <v>2311643835.8490567</v>
      </c>
      <c r="N86" s="72"/>
      <c r="O86" s="72">
        <v>0</v>
      </c>
      <c r="P86" s="72"/>
      <c r="Q86" s="72">
        <f t="shared" si="5"/>
        <v>2311643835.8490567</v>
      </c>
    </row>
    <row r="87" spans="1:17" s="118" customFormat="1" ht="30.75" customHeight="1" thickBot="1">
      <c r="A87" s="263" t="s">
        <v>183</v>
      </c>
      <c r="B87" s="209"/>
      <c r="C87" s="208" t="s">
        <v>91</v>
      </c>
      <c r="E87" s="98">
        <v>0.22500000000000001</v>
      </c>
      <c r="G87" s="253">
        <v>0</v>
      </c>
      <c r="H87" s="72"/>
      <c r="I87" s="72">
        <v>0</v>
      </c>
      <c r="J87" s="72"/>
      <c r="K87" s="72">
        <f t="shared" si="4"/>
        <v>0</v>
      </c>
      <c r="L87" s="72"/>
      <c r="M87" s="72">
        <v>8839019588.7735844</v>
      </c>
      <c r="N87" s="72"/>
      <c r="O87" s="72">
        <v>0</v>
      </c>
      <c r="P87" s="72"/>
      <c r="Q87" s="72">
        <f t="shared" si="5"/>
        <v>8839019588.7735844</v>
      </c>
    </row>
    <row r="88" spans="1:17" s="118" customFormat="1" ht="30.75" customHeight="1" thickBot="1">
      <c r="A88" s="263" t="s">
        <v>169</v>
      </c>
      <c r="B88" s="209"/>
      <c r="C88" s="208" t="s">
        <v>91</v>
      </c>
      <c r="E88" s="98">
        <v>0.22500000000000001</v>
      </c>
      <c r="G88" s="253">
        <v>0</v>
      </c>
      <c r="H88" s="72"/>
      <c r="I88" s="72">
        <v>0</v>
      </c>
      <c r="J88" s="72"/>
      <c r="K88" s="72">
        <f t="shared" si="4"/>
        <v>0</v>
      </c>
      <c r="L88" s="72"/>
      <c r="M88" s="72">
        <v>516671506.80000001</v>
      </c>
      <c r="N88" s="72"/>
      <c r="O88" s="72">
        <v>0</v>
      </c>
      <c r="P88" s="72"/>
      <c r="Q88" s="72">
        <f t="shared" si="5"/>
        <v>516671506.80000001</v>
      </c>
    </row>
    <row r="89" spans="1:17" s="118" customFormat="1" ht="30.75" customHeight="1" thickBot="1">
      <c r="A89" s="263" t="s">
        <v>153</v>
      </c>
      <c r="B89" s="209"/>
      <c r="C89" s="208" t="s">
        <v>91</v>
      </c>
      <c r="E89" s="98">
        <v>0.22500000000000001</v>
      </c>
      <c r="G89" s="253">
        <v>0</v>
      </c>
      <c r="H89" s="72"/>
      <c r="I89" s="72">
        <v>0</v>
      </c>
      <c r="J89" s="72"/>
      <c r="K89" s="72">
        <f t="shared" si="4"/>
        <v>0</v>
      </c>
      <c r="L89" s="72"/>
      <c r="M89" s="72">
        <v>501780820.67307693</v>
      </c>
      <c r="N89" s="72"/>
      <c r="O89" s="72">
        <v>0</v>
      </c>
      <c r="P89" s="72"/>
      <c r="Q89" s="72">
        <f t="shared" si="5"/>
        <v>501780820.67307693</v>
      </c>
    </row>
    <row r="90" spans="1:17" s="118" customFormat="1" ht="30.75" customHeight="1" thickBot="1">
      <c r="A90" s="263" t="s">
        <v>121</v>
      </c>
      <c r="B90" s="209"/>
      <c r="C90" s="208" t="s">
        <v>91</v>
      </c>
      <c r="E90" s="98">
        <v>0.22500000000000001</v>
      </c>
      <c r="G90" s="253">
        <v>0</v>
      </c>
      <c r="H90" s="72"/>
      <c r="I90" s="72">
        <v>0</v>
      </c>
      <c r="J90" s="72"/>
      <c r="K90" s="72">
        <f t="shared" si="4"/>
        <v>0</v>
      </c>
      <c r="L90" s="72"/>
      <c r="M90" s="207">
        <v>370738455.65217388</v>
      </c>
      <c r="N90" s="72"/>
      <c r="O90" s="72"/>
      <c r="P90" s="72"/>
      <c r="Q90" s="72">
        <f t="shared" si="5"/>
        <v>370738455.65217388</v>
      </c>
    </row>
    <row r="91" spans="1:17" s="118" customFormat="1" ht="30.75" customHeight="1" thickBot="1">
      <c r="A91" s="263" t="s">
        <v>112</v>
      </c>
      <c r="B91" s="209"/>
      <c r="C91" s="208" t="s">
        <v>91</v>
      </c>
      <c r="E91" s="98">
        <v>0.22500000000000001</v>
      </c>
      <c r="G91" s="253">
        <v>0</v>
      </c>
      <c r="H91" s="72"/>
      <c r="I91" s="72">
        <v>0</v>
      </c>
      <c r="J91" s="72"/>
      <c r="K91" s="72">
        <f t="shared" si="4"/>
        <v>0</v>
      </c>
      <c r="L91" s="72"/>
      <c r="M91" s="207">
        <v>1023634809.7826086</v>
      </c>
      <c r="N91" s="72"/>
      <c r="O91" s="72"/>
      <c r="P91" s="72"/>
      <c r="Q91" s="72">
        <f t="shared" si="5"/>
        <v>1023634809.7826086</v>
      </c>
    </row>
    <row r="92" spans="1:17" s="118" customFormat="1" ht="30.75" customHeight="1" thickBot="1">
      <c r="A92" s="263" t="s">
        <v>122</v>
      </c>
      <c r="B92" s="209"/>
      <c r="C92" s="208" t="s">
        <v>91</v>
      </c>
      <c r="E92" s="98">
        <v>0.22500000000000001</v>
      </c>
      <c r="G92" s="253">
        <v>0</v>
      </c>
      <c r="H92" s="72"/>
      <c r="I92" s="72">
        <v>0</v>
      </c>
      <c r="J92" s="72"/>
      <c r="K92" s="72">
        <f t="shared" si="4"/>
        <v>0</v>
      </c>
      <c r="L92" s="72"/>
      <c r="M92" s="72">
        <v>22062489664.591835</v>
      </c>
      <c r="N92" s="72"/>
      <c r="O92" s="72"/>
      <c r="P92" s="72"/>
      <c r="Q92" s="72">
        <f t="shared" si="5"/>
        <v>22062489664.591835</v>
      </c>
    </row>
    <row r="93" spans="1:17" s="118" customFormat="1" ht="30.75" customHeight="1" thickBot="1">
      <c r="A93" s="263" t="s">
        <v>339</v>
      </c>
      <c r="B93" s="209"/>
      <c r="C93" s="208" t="s">
        <v>91</v>
      </c>
      <c r="E93" s="98">
        <v>0.05</v>
      </c>
      <c r="G93" s="253">
        <f>7151+792891618</f>
        <v>792898769</v>
      </c>
      <c r="H93" s="72"/>
      <c r="I93" s="72">
        <v>0</v>
      </c>
      <c r="J93" s="72"/>
      <c r="K93" s="72">
        <f>G93+I93</f>
        <v>792898769</v>
      </c>
      <c r="L93" s="72"/>
      <c r="M93" s="72">
        <f>38855+20235861937</f>
        <v>20235900792</v>
      </c>
      <c r="N93" s="72"/>
      <c r="O93" s="72">
        <v>0</v>
      </c>
      <c r="P93" s="72"/>
      <c r="Q93" s="72">
        <f>M93+O93</f>
        <v>20235900792</v>
      </c>
    </row>
    <row r="94" spans="1:17" s="118" customFormat="1" ht="30.75" customHeight="1" thickBot="1">
      <c r="A94" s="263" t="s">
        <v>345</v>
      </c>
      <c r="B94" s="209"/>
      <c r="C94" s="208" t="s">
        <v>91</v>
      </c>
      <c r="E94" s="98">
        <v>0.22500000000000001</v>
      </c>
      <c r="G94" s="253">
        <f>520394196+2018770570</f>
        <v>2539164766</v>
      </c>
      <c r="H94" s="72"/>
      <c r="I94" s="72">
        <v>-854039</v>
      </c>
      <c r="J94" s="72"/>
      <c r="K94" s="72">
        <f t="shared" si="4"/>
        <v>2538310727</v>
      </c>
      <c r="L94" s="72"/>
      <c r="M94" s="207">
        <v>2155894612.6415095</v>
      </c>
      <c r="N94" s="72"/>
      <c r="O94" s="72">
        <v>-854039</v>
      </c>
      <c r="P94" s="72"/>
      <c r="Q94" s="72">
        <f>M94+O94</f>
        <v>2155040573.6415095</v>
      </c>
    </row>
    <row r="95" spans="1:17" s="118" customFormat="1" ht="30.75" customHeight="1" thickBot="1">
      <c r="A95" s="263" t="s">
        <v>293</v>
      </c>
      <c r="B95" s="209"/>
      <c r="C95" s="208" t="s">
        <v>91</v>
      </c>
      <c r="E95" s="98">
        <v>0.05</v>
      </c>
      <c r="G95" s="253">
        <v>0</v>
      </c>
      <c r="H95" s="72"/>
      <c r="I95" s="72">
        <v>0</v>
      </c>
      <c r="J95" s="72"/>
      <c r="K95" s="72">
        <f t="shared" si="4"/>
        <v>0</v>
      </c>
      <c r="L95" s="72"/>
      <c r="M95" s="72">
        <v>420181643.20754719</v>
      </c>
      <c r="N95" s="72"/>
      <c r="O95" s="72">
        <v>0</v>
      </c>
      <c r="P95" s="72"/>
      <c r="Q95" s="72">
        <f>M95+O95</f>
        <v>420181643.20754719</v>
      </c>
    </row>
    <row r="96" spans="1:17" s="118" customFormat="1" ht="30.75" customHeight="1" thickBot="1">
      <c r="A96" s="263" t="s">
        <v>285</v>
      </c>
      <c r="B96" s="209"/>
      <c r="C96" s="208" t="s">
        <v>91</v>
      </c>
      <c r="E96" s="98">
        <v>0.05</v>
      </c>
      <c r="G96" s="253">
        <v>0</v>
      </c>
      <c r="H96" s="72"/>
      <c r="I96" s="72">
        <v>0</v>
      </c>
      <c r="J96" s="72"/>
      <c r="K96" s="72">
        <f t="shared" si="4"/>
        <v>0</v>
      </c>
      <c r="L96" s="72"/>
      <c r="M96" s="72">
        <v>13019413559.433962</v>
      </c>
      <c r="N96" s="72"/>
      <c r="O96" s="72">
        <v>0</v>
      </c>
      <c r="P96" s="72"/>
      <c r="Q96" s="72">
        <f t="shared" si="5"/>
        <v>13019413559.433962</v>
      </c>
    </row>
    <row r="97" spans="1:17" s="118" customFormat="1" ht="30.75" customHeight="1" thickBot="1">
      <c r="A97" s="263" t="s">
        <v>247</v>
      </c>
      <c r="B97" s="209"/>
      <c r="C97" s="208" t="s">
        <v>91</v>
      </c>
      <c r="E97" s="98">
        <v>0.22500000000000001</v>
      </c>
      <c r="G97" s="253">
        <v>0</v>
      </c>
      <c r="H97" s="72"/>
      <c r="I97" s="72">
        <v>0</v>
      </c>
      <c r="J97" s="72"/>
      <c r="K97" s="72">
        <f t="shared" si="4"/>
        <v>0</v>
      </c>
      <c r="L97" s="72"/>
      <c r="M97" s="72">
        <v>10624191779.423077</v>
      </c>
      <c r="N97" s="72"/>
      <c r="O97" s="72">
        <v>0</v>
      </c>
      <c r="P97" s="72"/>
      <c r="Q97" s="72">
        <f t="shared" si="5"/>
        <v>10624191779.423077</v>
      </c>
    </row>
    <row r="98" spans="1:17" s="118" customFormat="1" ht="30.75" customHeight="1" thickBot="1">
      <c r="A98" s="263" t="s">
        <v>221</v>
      </c>
      <c r="B98" s="209"/>
      <c r="C98" s="208" t="s">
        <v>91</v>
      </c>
      <c r="E98" s="98">
        <v>0.05</v>
      </c>
      <c r="G98" s="253">
        <v>2330</v>
      </c>
      <c r="H98" s="72"/>
      <c r="I98" s="72">
        <v>0</v>
      </c>
      <c r="J98" s="72"/>
      <c r="K98" s="72">
        <f t="shared" si="4"/>
        <v>2330</v>
      </c>
      <c r="L98" s="72"/>
      <c r="M98" s="207">
        <v>54211</v>
      </c>
      <c r="N98" s="72"/>
      <c r="O98" s="210">
        <v>0</v>
      </c>
      <c r="P98" s="72">
        <v>15620010</v>
      </c>
      <c r="Q98" s="72">
        <f t="shared" si="5"/>
        <v>54211</v>
      </c>
    </row>
    <row r="99" spans="1:17" s="118" customFormat="1" ht="30.75" customHeight="1" thickBot="1">
      <c r="A99" s="263" t="s">
        <v>220</v>
      </c>
      <c r="B99" s="209"/>
      <c r="C99" s="208" t="s">
        <v>91</v>
      </c>
      <c r="E99" s="98">
        <v>0.05</v>
      </c>
      <c r="G99" s="253">
        <v>3809</v>
      </c>
      <c r="H99" s="72"/>
      <c r="I99" s="72">
        <v>0</v>
      </c>
      <c r="J99" s="72"/>
      <c r="K99" s="72">
        <f t="shared" si="4"/>
        <v>3809</v>
      </c>
      <c r="L99" s="72"/>
      <c r="M99" s="72">
        <f>44250+2772531523</f>
        <v>2772575773</v>
      </c>
      <c r="N99" s="72"/>
      <c r="O99" s="72">
        <v>0</v>
      </c>
      <c r="P99" s="72"/>
      <c r="Q99" s="72">
        <f t="shared" si="5"/>
        <v>2772575773</v>
      </c>
    </row>
    <row r="100" spans="1:17" s="118" customFormat="1" ht="30.75" customHeight="1">
      <c r="A100" s="263" t="s">
        <v>248</v>
      </c>
      <c r="B100" s="209"/>
      <c r="C100" s="208" t="s">
        <v>91</v>
      </c>
      <c r="E100" s="98">
        <v>0.05</v>
      </c>
      <c r="G100" s="82">
        <v>5541</v>
      </c>
      <c r="H100" s="72"/>
      <c r="I100" s="72">
        <v>0</v>
      </c>
      <c r="J100" s="72"/>
      <c r="K100" s="72">
        <f t="shared" si="4"/>
        <v>5541</v>
      </c>
      <c r="L100" s="72"/>
      <c r="M100" s="72">
        <f>5541+1652652054</f>
        <v>1652657595</v>
      </c>
      <c r="N100" s="72"/>
      <c r="O100" s="72">
        <v>0</v>
      </c>
      <c r="P100" s="72"/>
      <c r="Q100" s="72">
        <f t="shared" si="5"/>
        <v>1652657595</v>
      </c>
    </row>
    <row r="101" spans="1:17" s="118" customFormat="1" ht="30.75" customHeight="1">
      <c r="A101" s="263" t="s">
        <v>218</v>
      </c>
      <c r="B101" s="209"/>
      <c r="C101" s="208" t="s">
        <v>91</v>
      </c>
      <c r="E101" s="98">
        <v>0.05</v>
      </c>
      <c r="G101" s="82">
        <v>9725</v>
      </c>
      <c r="H101" s="72"/>
      <c r="I101" s="72">
        <v>0</v>
      </c>
      <c r="J101" s="72"/>
      <c r="K101" s="72">
        <f t="shared" si="4"/>
        <v>9725</v>
      </c>
      <c r="L101" s="72"/>
      <c r="M101" s="72">
        <v>125218</v>
      </c>
      <c r="N101" s="72"/>
      <c r="O101" s="72">
        <v>0</v>
      </c>
      <c r="P101" s="72"/>
      <c r="Q101" s="72">
        <f t="shared" si="5"/>
        <v>125218</v>
      </c>
    </row>
    <row r="102" spans="1:17" s="118" customFormat="1" ht="30.75" customHeight="1">
      <c r="A102" s="263" t="s">
        <v>219</v>
      </c>
      <c r="B102" s="209"/>
      <c r="C102" s="208" t="s">
        <v>91</v>
      </c>
      <c r="E102" s="98">
        <v>0.05</v>
      </c>
      <c r="G102" s="262">
        <v>1016774</v>
      </c>
      <c r="H102" s="72"/>
      <c r="I102" s="72">
        <v>0</v>
      </c>
      <c r="J102" s="72"/>
      <c r="K102" s="72">
        <f t="shared" si="4"/>
        <v>1016774</v>
      </c>
      <c r="L102" s="72"/>
      <c r="M102" s="72">
        <v>34562776</v>
      </c>
      <c r="N102" s="72"/>
      <c r="O102" s="72">
        <v>0</v>
      </c>
      <c r="P102" s="72"/>
      <c r="Q102" s="72">
        <f t="shared" si="5"/>
        <v>34562776</v>
      </c>
    </row>
    <row r="103" spans="1:17" s="118" customFormat="1" ht="30.75" customHeight="1">
      <c r="A103" s="263" t="s">
        <v>343</v>
      </c>
      <c r="B103" s="209"/>
      <c r="C103" s="208" t="s">
        <v>91</v>
      </c>
      <c r="E103" s="98">
        <v>0.22500000000000001</v>
      </c>
      <c r="G103" s="82">
        <v>20222259</v>
      </c>
      <c r="H103" s="72"/>
      <c r="I103" s="72">
        <v>0</v>
      </c>
      <c r="J103" s="72"/>
      <c r="K103" s="72">
        <f t="shared" ref="K103:K116" si="6">G103+I103</f>
        <v>20222259</v>
      </c>
      <c r="L103" s="72"/>
      <c r="M103" s="72">
        <v>20222259</v>
      </c>
      <c r="N103" s="72"/>
      <c r="O103" s="72">
        <v>0</v>
      </c>
      <c r="P103" s="72"/>
      <c r="Q103" s="72">
        <f t="shared" ref="Q103:Q116" si="7">M103+O103</f>
        <v>20222259</v>
      </c>
    </row>
    <row r="104" spans="1:17" s="118" customFormat="1" ht="30.75" customHeight="1">
      <c r="A104" s="263" t="s">
        <v>349</v>
      </c>
      <c r="B104" s="209"/>
      <c r="C104" s="208" t="s">
        <v>91</v>
      </c>
      <c r="E104" s="98">
        <v>0.22500000000000001</v>
      </c>
      <c r="G104" s="82">
        <v>414708903</v>
      </c>
      <c r="H104" s="72"/>
      <c r="I104" s="72">
        <v>0</v>
      </c>
      <c r="J104" s="72"/>
      <c r="K104" s="72">
        <f t="shared" si="6"/>
        <v>414708903</v>
      </c>
      <c r="L104" s="72"/>
      <c r="M104" s="72">
        <v>414708903</v>
      </c>
      <c r="N104" s="72"/>
      <c r="O104" s="72">
        <v>0</v>
      </c>
      <c r="P104" s="72"/>
      <c r="Q104" s="72">
        <f t="shared" si="7"/>
        <v>414708903</v>
      </c>
    </row>
    <row r="105" spans="1:17" s="118" customFormat="1" ht="30.75" customHeight="1">
      <c r="A105" s="263" t="s">
        <v>346</v>
      </c>
      <c r="B105" s="209"/>
      <c r="C105" s="208" t="s">
        <v>91</v>
      </c>
      <c r="E105" s="98">
        <v>0.22500000000000001</v>
      </c>
      <c r="G105" s="82">
        <v>1057808224</v>
      </c>
      <c r="H105" s="72"/>
      <c r="I105" s="72">
        <v>0</v>
      </c>
      <c r="J105" s="72"/>
      <c r="K105" s="72">
        <f t="shared" si="6"/>
        <v>1057808224</v>
      </c>
      <c r="L105" s="72"/>
      <c r="M105" s="207">
        <v>1057808224</v>
      </c>
      <c r="N105" s="72"/>
      <c r="O105" s="72">
        <v>0</v>
      </c>
      <c r="P105" s="72"/>
      <c r="Q105" s="72">
        <f t="shared" si="7"/>
        <v>1057808224</v>
      </c>
    </row>
    <row r="106" spans="1:17" s="118" customFormat="1" ht="30.75" customHeight="1">
      <c r="A106" s="263" t="s">
        <v>232</v>
      </c>
      <c r="B106" s="205"/>
      <c r="C106" s="208" t="s">
        <v>235</v>
      </c>
      <c r="D106" s="205"/>
      <c r="E106" s="98" t="s">
        <v>361</v>
      </c>
      <c r="F106" s="205"/>
      <c r="G106" s="72">
        <v>0</v>
      </c>
      <c r="H106" s="72"/>
      <c r="I106" s="72">
        <v>0</v>
      </c>
      <c r="J106" s="72"/>
      <c r="K106" s="72">
        <f t="shared" si="6"/>
        <v>0</v>
      </c>
      <c r="L106" s="72"/>
      <c r="M106" s="72">
        <v>3342773973</v>
      </c>
      <c r="N106" s="72"/>
      <c r="O106" s="72">
        <v>0</v>
      </c>
      <c r="P106" s="72"/>
      <c r="Q106" s="72">
        <f t="shared" si="7"/>
        <v>3342773973</v>
      </c>
    </row>
    <row r="107" spans="1:17" s="118" customFormat="1" ht="30.75" customHeight="1">
      <c r="A107" s="263" t="s">
        <v>110</v>
      </c>
      <c r="B107" s="205"/>
      <c r="C107" s="208" t="s">
        <v>321</v>
      </c>
      <c r="D107" s="205"/>
      <c r="E107" s="98" t="s">
        <v>332</v>
      </c>
      <c r="F107" s="205"/>
      <c r="G107" s="72">
        <v>0</v>
      </c>
      <c r="H107" s="72"/>
      <c r="I107" s="72">
        <v>0</v>
      </c>
      <c r="J107" s="72"/>
      <c r="K107" s="72">
        <f t="shared" si="6"/>
        <v>0</v>
      </c>
      <c r="L107" s="72"/>
      <c r="M107" s="72">
        <v>59103289518</v>
      </c>
      <c r="N107" s="72"/>
      <c r="O107" s="72">
        <v>0</v>
      </c>
      <c r="P107" s="72"/>
      <c r="Q107" s="72">
        <f t="shared" si="7"/>
        <v>59103289518</v>
      </c>
    </row>
    <row r="108" spans="1:17" s="118" customFormat="1" ht="30.75" customHeight="1">
      <c r="A108" s="263" t="s">
        <v>185</v>
      </c>
      <c r="B108" s="205"/>
      <c r="C108" s="208" t="s">
        <v>186</v>
      </c>
      <c r="D108" s="205"/>
      <c r="E108" s="98" t="s">
        <v>362</v>
      </c>
      <c r="F108" s="205"/>
      <c r="G108" s="72">
        <v>0</v>
      </c>
      <c r="H108" s="72"/>
      <c r="I108" s="72">
        <v>0</v>
      </c>
      <c r="J108" s="72"/>
      <c r="K108" s="72">
        <f t="shared" si="6"/>
        <v>0</v>
      </c>
      <c r="L108" s="72"/>
      <c r="M108" s="72">
        <v>26850405289</v>
      </c>
      <c r="N108" s="72"/>
      <c r="O108" s="72">
        <v>0</v>
      </c>
      <c r="P108" s="72"/>
      <c r="Q108" s="72">
        <f t="shared" si="7"/>
        <v>26850405289</v>
      </c>
    </row>
    <row r="109" spans="1:17" s="118" customFormat="1" ht="30.75" customHeight="1">
      <c r="A109" s="263" t="s">
        <v>148</v>
      </c>
      <c r="B109" s="205"/>
      <c r="C109" s="208" t="s">
        <v>322</v>
      </c>
      <c r="D109" s="205"/>
      <c r="E109" s="98" t="s">
        <v>332</v>
      </c>
      <c r="F109" s="205"/>
      <c r="G109" s="72">
        <v>0</v>
      </c>
      <c r="H109" s="72"/>
      <c r="I109" s="72">
        <v>0</v>
      </c>
      <c r="J109" s="72"/>
      <c r="K109" s="72">
        <f t="shared" si="6"/>
        <v>0</v>
      </c>
      <c r="L109" s="72"/>
      <c r="M109" s="72">
        <v>404041938</v>
      </c>
      <c r="N109" s="72"/>
      <c r="O109" s="72">
        <v>0</v>
      </c>
      <c r="P109" s="72"/>
      <c r="Q109" s="72">
        <f t="shared" si="7"/>
        <v>404041938</v>
      </c>
    </row>
    <row r="110" spans="1:17" s="118" customFormat="1" ht="30.75" customHeight="1" thickBot="1">
      <c r="A110" s="263" t="s">
        <v>116</v>
      </c>
      <c r="B110" s="209"/>
      <c r="C110" s="208" t="s">
        <v>118</v>
      </c>
      <c r="E110" s="98" t="s">
        <v>363</v>
      </c>
      <c r="G110" s="72">
        <v>0</v>
      </c>
      <c r="H110" s="72"/>
      <c r="I110" s="72">
        <v>0</v>
      </c>
      <c r="J110" s="72"/>
      <c r="K110" s="72">
        <f t="shared" si="6"/>
        <v>0</v>
      </c>
      <c r="L110" s="72"/>
      <c r="M110" s="72">
        <v>32445693272</v>
      </c>
      <c r="N110" s="72"/>
      <c r="O110" s="72">
        <v>0</v>
      </c>
      <c r="P110" s="72"/>
      <c r="Q110" s="72">
        <f t="shared" si="7"/>
        <v>32445693272</v>
      </c>
    </row>
    <row r="111" spans="1:17" s="118" customFormat="1" ht="30.75" customHeight="1" thickBot="1">
      <c r="A111" s="263" t="s">
        <v>117</v>
      </c>
      <c r="B111" s="209"/>
      <c r="C111" s="208" t="s">
        <v>120</v>
      </c>
      <c r="E111" s="98" t="s">
        <v>333</v>
      </c>
      <c r="G111" s="253">
        <v>356822949</v>
      </c>
      <c r="H111" s="72"/>
      <c r="I111" s="72">
        <v>0</v>
      </c>
      <c r="J111" s="72"/>
      <c r="K111" s="72">
        <f t="shared" si="6"/>
        <v>356822949</v>
      </c>
      <c r="L111" s="72"/>
      <c r="M111" s="72">
        <v>24541425674</v>
      </c>
      <c r="N111" s="72"/>
      <c r="O111" s="72">
        <v>0</v>
      </c>
      <c r="P111" s="72"/>
      <c r="Q111" s="72">
        <f t="shared" si="7"/>
        <v>24541425674</v>
      </c>
    </row>
    <row r="112" spans="1:17" s="118" customFormat="1" ht="30.75" customHeight="1" thickBot="1">
      <c r="A112" s="263" t="s">
        <v>102</v>
      </c>
      <c r="B112" s="209"/>
      <c r="C112" s="208" t="s">
        <v>104</v>
      </c>
      <c r="E112" s="98" t="s">
        <v>333</v>
      </c>
      <c r="G112" s="253">
        <v>2168210675</v>
      </c>
      <c r="H112" s="72"/>
      <c r="I112" s="72">
        <v>0</v>
      </c>
      <c r="J112" s="72"/>
      <c r="K112" s="72">
        <f t="shared" si="6"/>
        <v>2168210675</v>
      </c>
      <c r="L112" s="72"/>
      <c r="M112" s="72">
        <v>36076543752</v>
      </c>
      <c r="N112" s="72"/>
      <c r="O112" s="72">
        <v>0</v>
      </c>
      <c r="P112" s="72"/>
      <c r="Q112" s="72">
        <f t="shared" si="7"/>
        <v>36076543752</v>
      </c>
    </row>
    <row r="113" spans="1:17" s="118" customFormat="1" ht="30.75" customHeight="1" thickBot="1">
      <c r="A113" s="263" t="s">
        <v>304</v>
      </c>
      <c r="B113" s="205"/>
      <c r="C113" s="208" t="s">
        <v>308</v>
      </c>
      <c r="D113" s="205"/>
      <c r="E113" s="98" t="s">
        <v>331</v>
      </c>
      <c r="F113" s="205"/>
      <c r="G113" s="255">
        <v>2573420458</v>
      </c>
      <c r="H113" s="72"/>
      <c r="I113" s="72">
        <v>0</v>
      </c>
      <c r="J113" s="72"/>
      <c r="K113" s="72">
        <f t="shared" si="6"/>
        <v>2573420458</v>
      </c>
      <c r="L113" s="72"/>
      <c r="M113" s="72">
        <v>4233078110</v>
      </c>
      <c r="N113" s="72"/>
      <c r="O113" s="72">
        <v>0</v>
      </c>
      <c r="P113" s="72"/>
      <c r="Q113" s="72">
        <f t="shared" si="7"/>
        <v>4233078110</v>
      </c>
    </row>
    <row r="114" spans="1:17" s="118" customFormat="1" ht="30.75" customHeight="1" thickBot="1">
      <c r="A114" s="263" t="s">
        <v>328</v>
      </c>
      <c r="B114" s="205"/>
      <c r="C114" s="208" t="s">
        <v>330</v>
      </c>
      <c r="D114" s="205"/>
      <c r="E114" s="98" t="s">
        <v>334</v>
      </c>
      <c r="F114" s="205"/>
      <c r="G114" s="253">
        <v>4027884657</v>
      </c>
      <c r="H114" s="72"/>
      <c r="I114" s="72">
        <v>0</v>
      </c>
      <c r="J114" s="72"/>
      <c r="K114" s="72">
        <f t="shared" si="6"/>
        <v>4027884657</v>
      </c>
      <c r="L114" s="72"/>
      <c r="M114" s="72">
        <v>4027884657</v>
      </c>
      <c r="N114" s="72"/>
      <c r="O114" s="72">
        <v>0</v>
      </c>
      <c r="P114" s="72"/>
      <c r="Q114" s="72">
        <f t="shared" si="7"/>
        <v>4027884657</v>
      </c>
    </row>
    <row r="115" spans="1:17" s="118" customFormat="1" ht="30.75" customHeight="1" thickBot="1">
      <c r="A115" s="263" t="s">
        <v>231</v>
      </c>
      <c r="B115" s="209"/>
      <c r="C115" s="208" t="s">
        <v>234</v>
      </c>
      <c r="E115" s="98" t="s">
        <v>332</v>
      </c>
      <c r="G115" s="253">
        <v>8654014150</v>
      </c>
      <c r="H115" s="72"/>
      <c r="I115" s="72">
        <v>0</v>
      </c>
      <c r="J115" s="72"/>
      <c r="K115" s="72">
        <f t="shared" si="6"/>
        <v>8654014150</v>
      </c>
      <c r="L115" s="72"/>
      <c r="M115" s="72">
        <v>34002346830</v>
      </c>
      <c r="N115" s="72"/>
      <c r="O115" s="72">
        <v>0</v>
      </c>
      <c r="P115" s="72"/>
      <c r="Q115" s="72">
        <f t="shared" si="7"/>
        <v>34002346830</v>
      </c>
    </row>
    <row r="116" spans="1:17" s="118" customFormat="1" ht="30.75" customHeight="1" thickBot="1">
      <c r="A116" s="263" t="s">
        <v>305</v>
      </c>
      <c r="B116" s="205"/>
      <c r="C116" s="208" t="s">
        <v>309</v>
      </c>
      <c r="D116" s="205"/>
      <c r="E116" s="98" t="s">
        <v>332</v>
      </c>
      <c r="F116" s="205"/>
      <c r="G116" s="253">
        <v>10945220686</v>
      </c>
      <c r="H116" s="72"/>
      <c r="I116" s="72">
        <v>0</v>
      </c>
      <c r="J116" s="72"/>
      <c r="K116" s="72">
        <f t="shared" si="6"/>
        <v>10945220686</v>
      </c>
      <c r="L116" s="72"/>
      <c r="M116" s="72">
        <v>19375975771</v>
      </c>
      <c r="N116" s="72"/>
      <c r="O116" s="72">
        <v>0</v>
      </c>
      <c r="P116" s="72"/>
      <c r="Q116" s="72">
        <f t="shared" si="7"/>
        <v>19375975771</v>
      </c>
    </row>
    <row r="117" spans="1:17" s="264" customFormat="1" ht="30.75" customHeight="1" thickBot="1">
      <c r="A117" s="263"/>
      <c r="B117" s="274"/>
      <c r="C117" s="275" t="s">
        <v>91</v>
      </c>
      <c r="E117" s="93"/>
      <c r="F117" s="107">
        <f>SUM(F7:F103)</f>
        <v>0</v>
      </c>
      <c r="G117" s="107">
        <f>SUM(G7:G116)</f>
        <v>47620250656.006943</v>
      </c>
      <c r="H117" s="107">
        <f>SUM(H7:H103)</f>
        <v>0</v>
      </c>
      <c r="I117" s="107">
        <f>SUM(I7:I116)</f>
        <v>-23167374</v>
      </c>
      <c r="J117" s="107">
        <f>SUM(J7:J103)</f>
        <v>0</v>
      </c>
      <c r="K117" s="107">
        <f>SUM(K7:K116)</f>
        <v>47597083282.006943</v>
      </c>
      <c r="L117" s="107">
        <f>SUM(L7:L103)</f>
        <v>0</v>
      </c>
      <c r="M117" s="107">
        <f>SUM(M7:M116)</f>
        <v>548337394148.35895</v>
      </c>
      <c r="N117" s="107">
        <f>SUM(N7:N103)</f>
        <v>0</v>
      </c>
      <c r="O117" s="107">
        <f>SUM(O7:O116)</f>
        <v>-103798374</v>
      </c>
      <c r="P117" s="107">
        <f>SUM(P7:P103)</f>
        <v>15620010</v>
      </c>
      <c r="Q117" s="107">
        <f>SUM(Q7:Q116)</f>
        <v>548233595774.35895</v>
      </c>
    </row>
    <row r="118" spans="1:17" ht="30.75" customHeight="1" thickTop="1"/>
  </sheetData>
  <autoFilter ref="A6:Q116" xr:uid="{00000000-0009-0000-0000-000006000000}">
    <sortState xmlns:xlrd2="http://schemas.microsoft.com/office/spreadsheetml/2017/richdata2" ref="A7:Q116">
      <sortCondition sortBy="cellColor" ref="A6:A116" dxfId="9"/>
    </sortState>
  </autoFilter>
  <mergeCells count="7">
    <mergeCell ref="A4:G4"/>
    <mergeCell ref="B5:E5"/>
    <mergeCell ref="M5:Q5"/>
    <mergeCell ref="A1:Q1"/>
    <mergeCell ref="A2:Q2"/>
    <mergeCell ref="A3:Q3"/>
    <mergeCell ref="G5:K5"/>
  </mergeCells>
  <phoneticPr fontId="56" type="noConversion"/>
  <printOptions horizontalCentered="1"/>
  <pageMargins left="0.25" right="0.25" top="0.75" bottom="0.75" header="0.3" footer="0.3"/>
  <pageSetup paperSize="9" scale="4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  <pageSetUpPr fitToPage="1"/>
  </sheetPr>
  <dimension ref="A1:R20"/>
  <sheetViews>
    <sheetView rightToLeft="1" view="pageBreakPreview" zoomScale="85" zoomScaleNormal="100" zoomScaleSheetLayoutView="85" workbookViewId="0">
      <selection activeCell="A16" sqref="A16"/>
    </sheetView>
  </sheetViews>
  <sheetFormatPr defaultColWidth="9.140625" defaultRowHeight="17.25"/>
  <cols>
    <col min="1" max="1" width="41.140625" style="7" bestFit="1" customWidth="1"/>
    <col min="2" max="2" width="1.28515625" style="7" customWidth="1"/>
    <col min="3" max="3" width="18.42578125" style="7" customWidth="1"/>
    <col min="4" max="4" width="0.85546875" style="7" customWidth="1"/>
    <col min="5" max="5" width="24.5703125" style="83" customWidth="1"/>
    <col min="6" max="6" width="0.5703125" style="83" customWidth="1"/>
    <col min="7" max="7" width="24.7109375" style="83" customWidth="1"/>
    <col min="8" max="8" width="0.85546875" style="83" customWidth="1"/>
    <col min="9" max="9" width="23.7109375" style="84" customWidth="1"/>
    <col min="10" max="10" width="0.5703125" style="84" customWidth="1"/>
    <col min="11" max="11" width="17" style="84" customWidth="1"/>
    <col min="12" max="12" width="0.42578125" style="84" customWidth="1"/>
    <col min="13" max="13" width="27.85546875" style="84" customWidth="1"/>
    <col min="14" max="14" width="0.42578125" style="84" customWidth="1"/>
    <col min="15" max="15" width="25.28515625" style="84" bestFit="1" customWidth="1"/>
    <col min="16" max="16" width="0.5703125" style="84" customWidth="1"/>
    <col min="17" max="17" width="26" style="84" customWidth="1"/>
    <col min="18" max="18" width="14" style="7" bestFit="1" customWidth="1"/>
    <col min="19" max="19" width="11.5703125" style="7" bestFit="1" customWidth="1"/>
    <col min="20" max="16384" width="9.140625" style="7"/>
  </cols>
  <sheetData>
    <row r="1" spans="1:18" ht="22.5">
      <c r="A1" s="337" t="s">
        <v>89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</row>
    <row r="2" spans="1:18" ht="22.5">
      <c r="A2" s="337" t="s">
        <v>56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</row>
    <row r="3" spans="1:18" ht="22.5">
      <c r="A3" s="337" t="str">
        <f>' سهام'!A3:W3</f>
        <v>برای ماه منتهی به 1402/09/30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</row>
    <row r="4" spans="1:18" ht="22.5">
      <c r="A4" s="338" t="s">
        <v>63</v>
      </c>
      <c r="B4" s="338"/>
      <c r="C4" s="338"/>
      <c r="D4" s="338"/>
      <c r="E4" s="338"/>
      <c r="F4" s="338"/>
      <c r="G4" s="338"/>
      <c r="H4" s="338"/>
      <c r="I4" s="338"/>
      <c r="J4" s="347"/>
      <c r="K4" s="347"/>
      <c r="L4" s="347"/>
      <c r="M4" s="347"/>
      <c r="N4" s="347"/>
      <c r="O4" s="347"/>
      <c r="P4" s="347"/>
      <c r="Q4" s="347"/>
    </row>
    <row r="5" spans="1:18" ht="15.75" customHeight="1" thickBot="1">
      <c r="A5" s="118"/>
      <c r="B5" s="118"/>
      <c r="C5" s="345" t="s">
        <v>326</v>
      </c>
      <c r="D5" s="345"/>
      <c r="E5" s="345"/>
      <c r="F5" s="345"/>
      <c r="G5" s="345"/>
      <c r="H5" s="345"/>
      <c r="I5" s="345"/>
      <c r="J5" s="12"/>
      <c r="K5" s="346" t="s">
        <v>327</v>
      </c>
      <c r="L5" s="346"/>
      <c r="M5" s="346"/>
      <c r="N5" s="346"/>
      <c r="O5" s="346"/>
      <c r="P5" s="346"/>
      <c r="Q5" s="346"/>
    </row>
    <row r="6" spans="1:18" ht="22.5" thickBot="1">
      <c r="A6" s="238" t="s">
        <v>38</v>
      </c>
      <c r="B6" s="238"/>
      <c r="C6" s="239" t="s">
        <v>3</v>
      </c>
      <c r="D6" s="238"/>
      <c r="E6" s="240" t="s">
        <v>45</v>
      </c>
      <c r="F6" s="80"/>
      <c r="G6" s="241" t="s">
        <v>42</v>
      </c>
      <c r="H6" s="80"/>
      <c r="I6" s="92" t="s">
        <v>46</v>
      </c>
      <c r="J6" s="12"/>
      <c r="K6" s="91" t="s">
        <v>3</v>
      </c>
      <c r="L6" s="81"/>
      <c r="M6" s="92" t="s">
        <v>21</v>
      </c>
      <c r="N6" s="81"/>
      <c r="O6" s="91" t="s">
        <v>42</v>
      </c>
      <c r="P6" s="81"/>
      <c r="Q6" s="242" t="s">
        <v>46</v>
      </c>
    </row>
    <row r="7" spans="1:18" ht="21.75">
      <c r="A7" s="243" t="s">
        <v>116</v>
      </c>
      <c r="B7" s="244"/>
      <c r="C7" s="237">
        <v>0</v>
      </c>
      <c r="D7" s="244"/>
      <c r="E7" s="237">
        <v>0</v>
      </c>
      <c r="F7" s="72"/>
      <c r="G7" s="82">
        <v>0</v>
      </c>
      <c r="H7" s="72"/>
      <c r="I7" s="72">
        <f>E7+G7</f>
        <v>0</v>
      </c>
      <c r="J7" s="245"/>
      <c r="K7" s="237">
        <v>880000</v>
      </c>
      <c r="L7" s="244"/>
      <c r="M7" s="237">
        <v>873290881377</v>
      </c>
      <c r="N7" s="72"/>
      <c r="O7" s="82">
        <v>-858492447036</v>
      </c>
      <c r="P7" s="246"/>
      <c r="Q7" s="72">
        <f>M7+O7</f>
        <v>14798434341</v>
      </c>
      <c r="R7" s="197"/>
    </row>
    <row r="8" spans="1:18" ht="21.75">
      <c r="A8" s="243" t="s">
        <v>117</v>
      </c>
      <c r="B8" s="244"/>
      <c r="C8" s="237">
        <v>176000</v>
      </c>
      <c r="D8" s="244"/>
      <c r="E8" s="237">
        <v>183737197644</v>
      </c>
      <c r="F8" s="72"/>
      <c r="G8" s="82">
        <v>-178493754374</v>
      </c>
      <c r="H8" s="72"/>
      <c r="I8" s="72">
        <f t="shared" ref="I8:I15" si="0">E8+G8</f>
        <v>5243443270</v>
      </c>
      <c r="J8" s="245"/>
      <c r="K8" s="237">
        <v>236000</v>
      </c>
      <c r="L8" s="244"/>
      <c r="M8" s="237">
        <v>244100894742</v>
      </c>
      <c r="N8" s="72"/>
      <c r="O8" s="82">
        <v>-238306239911</v>
      </c>
      <c r="P8" s="246"/>
      <c r="Q8" s="72">
        <f t="shared" ref="Q8:Q15" si="1">M8+O8</f>
        <v>5794654831</v>
      </c>
      <c r="R8" s="197"/>
    </row>
    <row r="9" spans="1:18" ht="21.75">
      <c r="A9" s="243" t="s">
        <v>148</v>
      </c>
      <c r="B9" s="244"/>
      <c r="C9" s="237">
        <v>0</v>
      </c>
      <c r="D9" s="244"/>
      <c r="E9" s="237">
        <v>0</v>
      </c>
      <c r="F9" s="72"/>
      <c r="G9" s="82">
        <v>0</v>
      </c>
      <c r="H9" s="72"/>
      <c r="I9" s="72">
        <f t="shared" si="0"/>
        <v>0</v>
      </c>
      <c r="J9" s="245"/>
      <c r="K9" s="237">
        <v>25000</v>
      </c>
      <c r="L9" s="244"/>
      <c r="M9" s="237">
        <v>23008328986</v>
      </c>
      <c r="N9" s="72"/>
      <c r="O9" s="82">
        <v>-22958828986</v>
      </c>
      <c r="P9" s="246"/>
      <c r="Q9" s="72">
        <f t="shared" si="1"/>
        <v>49500000</v>
      </c>
      <c r="R9" s="197"/>
    </row>
    <row r="10" spans="1:18" ht="21.75">
      <c r="A10" s="243" t="s">
        <v>147</v>
      </c>
      <c r="B10" s="244"/>
      <c r="C10" s="237">
        <v>0</v>
      </c>
      <c r="D10" s="244"/>
      <c r="E10" s="237">
        <v>0</v>
      </c>
      <c r="F10" s="72"/>
      <c r="G10" s="82">
        <v>0</v>
      </c>
      <c r="H10" s="72"/>
      <c r="I10" s="72">
        <f t="shared" si="0"/>
        <v>0</v>
      </c>
      <c r="J10" s="245"/>
      <c r="K10" s="237">
        <v>10420</v>
      </c>
      <c r="L10" s="244"/>
      <c r="M10" s="237">
        <v>10420000000</v>
      </c>
      <c r="N10" s="72"/>
      <c r="O10" s="82">
        <v>-9380399871</v>
      </c>
      <c r="P10" s="246"/>
      <c r="Q10" s="72">
        <f t="shared" si="1"/>
        <v>1039600129</v>
      </c>
      <c r="R10" s="197"/>
    </row>
    <row r="11" spans="1:18" ht="21.75">
      <c r="A11" s="243" t="s">
        <v>110</v>
      </c>
      <c r="B11" s="244"/>
      <c r="C11" s="237">
        <v>0</v>
      </c>
      <c r="D11" s="244"/>
      <c r="E11" s="237">
        <v>0</v>
      </c>
      <c r="F11" s="72"/>
      <c r="G11" s="82">
        <v>0</v>
      </c>
      <c r="H11" s="72"/>
      <c r="I11" s="72">
        <f t="shared" si="0"/>
        <v>0</v>
      </c>
      <c r="J11" s="245"/>
      <c r="K11" s="237">
        <v>550000</v>
      </c>
      <c r="L11" s="244"/>
      <c r="M11" s="237">
        <v>568229000000</v>
      </c>
      <c r="N11" s="72"/>
      <c r="O11" s="82">
        <v>-553622384129</v>
      </c>
      <c r="P11" s="246"/>
      <c r="Q11" s="72">
        <f t="shared" si="1"/>
        <v>14606615871</v>
      </c>
      <c r="R11" s="197"/>
    </row>
    <row r="12" spans="1:18" ht="21.75">
      <c r="A12" s="243" t="s">
        <v>185</v>
      </c>
      <c r="B12" s="244"/>
      <c r="C12" s="237">
        <v>0</v>
      </c>
      <c r="D12" s="244"/>
      <c r="E12" s="237">
        <v>0</v>
      </c>
      <c r="F12" s="72"/>
      <c r="G12" s="82">
        <v>0</v>
      </c>
      <c r="H12" s="72"/>
      <c r="I12" s="72">
        <f t="shared" si="0"/>
        <v>0</v>
      </c>
      <c r="J12" s="245"/>
      <c r="K12" s="237">
        <v>1015000</v>
      </c>
      <c r="L12" s="244"/>
      <c r="M12" s="237">
        <v>1015000000000</v>
      </c>
      <c r="N12" s="72"/>
      <c r="O12" s="82">
        <v>-1004049950000</v>
      </c>
      <c r="P12" s="246"/>
      <c r="Q12" s="72">
        <f t="shared" si="1"/>
        <v>10950050000</v>
      </c>
      <c r="R12" s="197"/>
    </row>
    <row r="13" spans="1:18" ht="21.75">
      <c r="A13" s="243" t="s">
        <v>232</v>
      </c>
      <c r="B13" s="244"/>
      <c r="C13" s="237">
        <v>0</v>
      </c>
      <c r="D13" s="244"/>
      <c r="E13" s="237">
        <v>0</v>
      </c>
      <c r="F13" s="72"/>
      <c r="G13" s="82">
        <v>0</v>
      </c>
      <c r="H13" s="72"/>
      <c r="I13" s="72">
        <f t="shared" si="0"/>
        <v>0</v>
      </c>
      <c r="J13" s="245"/>
      <c r="K13" s="237">
        <v>500000</v>
      </c>
      <c r="L13" s="244"/>
      <c r="M13" s="237">
        <v>499970937500</v>
      </c>
      <c r="N13" s="72"/>
      <c r="O13" s="82">
        <v>-499970937500</v>
      </c>
      <c r="P13" s="246"/>
      <c r="Q13" s="72">
        <f t="shared" si="1"/>
        <v>0</v>
      </c>
      <c r="R13" s="197"/>
    </row>
    <row r="14" spans="1:18" ht="21.75">
      <c r="A14" s="243" t="s">
        <v>231</v>
      </c>
      <c r="B14" s="244"/>
      <c r="C14" s="237">
        <v>150000</v>
      </c>
      <c r="D14" s="237"/>
      <c r="E14" s="237">
        <v>141650572890</v>
      </c>
      <c r="F14" s="237"/>
      <c r="G14" s="237">
        <v>-139367688277</v>
      </c>
      <c r="H14" s="237"/>
      <c r="I14" s="72">
        <f t="shared" si="0"/>
        <v>2282884613</v>
      </c>
      <c r="J14" s="237"/>
      <c r="K14" s="237">
        <v>150000</v>
      </c>
      <c r="L14" s="237"/>
      <c r="M14" s="237">
        <v>141650572890</v>
      </c>
      <c r="N14" s="72"/>
      <c r="O14" s="237">
        <v>-139367688277</v>
      </c>
      <c r="P14" s="246"/>
      <c r="Q14" s="72">
        <f t="shared" si="1"/>
        <v>2282884613</v>
      </c>
      <c r="R14" s="197"/>
    </row>
    <row r="15" spans="1:18" ht="21.75">
      <c r="A15" s="243" t="s">
        <v>102</v>
      </c>
      <c r="B15" s="244"/>
      <c r="C15" s="237">
        <v>200000</v>
      </c>
      <c r="D15" s="237"/>
      <c r="E15" s="237">
        <v>216281148125</v>
      </c>
      <c r="F15" s="237"/>
      <c r="G15" s="237">
        <v>-202922358363</v>
      </c>
      <c r="H15" s="237"/>
      <c r="I15" s="72">
        <f t="shared" si="0"/>
        <v>13358789762</v>
      </c>
      <c r="J15" s="237"/>
      <c r="K15" s="237">
        <v>200000</v>
      </c>
      <c r="L15" s="237"/>
      <c r="M15" s="237">
        <v>216281148125</v>
      </c>
      <c r="N15" s="72"/>
      <c r="O15" s="237">
        <v>-202922358363</v>
      </c>
      <c r="P15" s="246"/>
      <c r="Q15" s="72">
        <f t="shared" si="1"/>
        <v>13358789762</v>
      </c>
      <c r="R15" s="197"/>
    </row>
    <row r="16" spans="1:18" ht="23.25" thickBot="1">
      <c r="C16" s="276"/>
      <c r="D16" s="260"/>
      <c r="E16" s="277">
        <f>SUM(E7:E15)</f>
        <v>541668918659</v>
      </c>
      <c r="F16" s="260"/>
      <c r="G16" s="277">
        <f>SUM(G7:G15)</f>
        <v>-520783801014</v>
      </c>
      <c r="H16" s="260"/>
      <c r="I16" s="277">
        <f>SUM(I7:I15)</f>
        <v>20885117645</v>
      </c>
      <c r="J16" s="260"/>
      <c r="K16" s="278"/>
      <c r="L16" s="260"/>
      <c r="M16" s="277">
        <f>SUM(M7:M15)</f>
        <v>3591951763620</v>
      </c>
      <c r="N16" s="260"/>
      <c r="O16" s="279">
        <f>SUM(O7:O15)</f>
        <v>-3529071234073</v>
      </c>
      <c r="P16" s="260"/>
      <c r="Q16" s="277">
        <f>SUM(Q7:Q15)</f>
        <v>62880529547</v>
      </c>
    </row>
    <row r="17" spans="1:17" ht="10.5" customHeight="1" thickTop="1">
      <c r="A17" s="118"/>
      <c r="B17" s="118"/>
      <c r="C17" s="118"/>
      <c r="D17" s="118"/>
      <c r="E17" s="73"/>
      <c r="F17" s="73"/>
      <c r="G17" s="73"/>
      <c r="H17" s="73"/>
      <c r="I17" s="12"/>
      <c r="J17" s="12"/>
      <c r="K17" s="12"/>
      <c r="L17" s="12"/>
      <c r="M17" s="12"/>
      <c r="N17" s="12"/>
      <c r="O17" s="12"/>
      <c r="P17" s="12"/>
      <c r="Q17" s="12"/>
    </row>
    <row r="18" spans="1:17" ht="21.75">
      <c r="A18" s="342" t="s">
        <v>44</v>
      </c>
      <c r="B18" s="343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4"/>
    </row>
    <row r="19" spans="1:17" ht="6" customHeight="1">
      <c r="A19" s="203"/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</row>
    <row r="20" spans="1:17" s="85" customFormat="1" ht="24"/>
  </sheetData>
  <autoFilter ref="A6:Q6" xr:uid="{00000000-0009-0000-0000-000008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8:Q18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19</vt:i4>
      </vt:variant>
    </vt:vector>
  </HeadingPairs>
  <TitlesOfParts>
    <vt:vector size="33" baseType="lpstr">
      <vt:lpstr>روکش</vt:lpstr>
      <vt:lpstr> سهام</vt:lpstr>
      <vt:lpstr>اوراق</vt:lpstr>
      <vt:lpstr>تعدیل 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A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Fariba Abdoli</cp:lastModifiedBy>
  <cp:lastPrinted>2019-05-29T09:35:10Z</cp:lastPrinted>
  <dcterms:created xsi:type="dcterms:W3CDTF">2017-11-22T14:26:20Z</dcterms:created>
  <dcterms:modified xsi:type="dcterms:W3CDTF">2023-12-31T17:30:19Z</dcterms:modified>
</cp:coreProperties>
</file>